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5880" activeTab="0"/>
  </bookViews>
  <sheets>
    <sheet name="bennett FORM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<sst xmlns="http://schemas.openxmlformats.org/spreadsheetml/2006/main" count="41" uniqueCount="28">
  <si>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Z</t>
  </si>
  <si>
    <t>deg</t>
  </si>
  <si>
    <t>min</t>
  </si>
  <si>
    <t>&lt;- LHA</t>
  </si>
  <si>
    <t>decimal</t>
  </si>
  <si>
    <t>if dec NORTH &amp; LHA&gt;180, Zn=Z</t>
  </si>
  <si>
    <t>Dec</t>
  </si>
  <si>
    <t>DR Lat</t>
  </si>
  <si>
    <t>-&gt; LAT</t>
  </si>
  <si>
    <t>-&gt;</t>
  </si>
  <si>
    <t>ALT</t>
  </si>
  <si>
    <t>if dec SOUTH &amp; LHA&lt;180, Zn=180+Z</t>
  </si>
  <si>
    <t>(theta)</t>
  </si>
  <si>
    <t>&lt;- SUM</t>
  </si>
  <si>
    <t>&lt;-</t>
  </si>
  <si>
    <t>RES</t>
  </si>
  <si>
    <t>Comp Alt</t>
  </si>
  <si>
    <t>Zn</t>
  </si>
  <si>
    <t>LHA</t>
  </si>
  <si>
    <t>-&gt; LHA</t>
  </si>
  <si>
    <t>if dec NORTH &amp; LHA&lt;180, Zn=360-Z</t>
  </si>
  <si>
    <t>if dec SOUTH, chg sign of lat</t>
  </si>
  <si>
    <t>Lat~Alt</t>
  </si>
  <si>
    <t>-&gt; DEC</t>
  </si>
  <si>
    <t>L~D</t>
  </si>
  <si>
    <t>if dec SOUTH &amp; LHA&gt;180, Zn=180-Z</t>
  </si>
  <si>
    <t>Alt</t>
  </si>
  <si>
    <t>Lat~Dec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</si>
</sst>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  <numFmt numFmtId="51" formatCode="0.000"/>
  </numFmts>
  <fonts count="8">
    <font>
      <sz val="10"/>
      <name val="Arial"/>
      <family val="0"/>
    </font>
    <font>
      <b/>
      <sz val="12"/>
      <color indexed="57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8"/>
      <name val="Sans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zoomScaleSheetLayoutView="1" workbookViewId="0" topLeftCell="A1">
      <selection activeCell="J5" sqref="J5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3" width="2.57421875" style="1" customWidth="1"/>
    <col min="4" max="4" width="5.8515625" style="1" customWidth="1"/>
    <col min="5" max="5" width="9.28125" style="1" customWidth="1"/>
    <col min="6" max="6" width="13.140625" style="1" customWidth="1"/>
    <col min="7" max="7" width="7.8515625" style="1" customWidth="1"/>
    <col min="8" max="8" width="10.7109375" style="1" customWidth="1"/>
    <col min="9" max="9" width="7.57421875" style="1" customWidth="1"/>
    <col min="10" max="10" width="6.7109375" style="1" customWidth="1"/>
    <col min="11" max="11" width="12.8515625" style="1" customWidth="1"/>
    <col min="12" max="12" width="9.140625" style="1" customWidth="1"/>
    <col min="13" max="13" width="7.8515625" style="1" customWidth="1"/>
    <col min="14" max="14" width="3.421875" style="1" customWidth="1"/>
    <col min="15" max="16" width="9.140625" style="1" customWidth="1"/>
  </cols>
  <sheetData>
    <row r="1" spans="9:11" ht="12.75">
      <c r="I1" s="4" t="s">
        <v>1</v>
      </c>
      <c r="J1" s="4" t="s">
        <v>2</v>
      </c>
      <c r="K1" s="4" t="s">
        <v>4</v>
      </c>
    </row>
    <row r="2" spans="7:14" ht="12">
      <c r="G2" s="1">
        <v>13</v>
      </c>
      <c r="H2" s="1" t="s">
        <v>18</v>
      </c>
      <c r="I2" s="10">
        <v>340</v>
      </c>
      <c r="J2" s="10">
        <v>0</v>
      </c>
      <c r="K2" s="8">
        <f>SIGN(I2)*(ABS(I2)+ABS(J2/60))</f>
        <v>340</v>
      </c>
      <c r="L2" s="15" t="s">
        <v>19</v>
      </c>
      <c r="M2" s="3">
        <f>-13030*LOG(1/2*(1-COS(RADIANS(K2))))</f>
        <v>19814.193805897692</v>
      </c>
      <c r="N2" s="3"/>
    </row>
    <row r="3" spans="7:14" ht="12">
      <c r="G3" s="1">
        <v>14</v>
      </c>
      <c r="H3" s="1" t="s">
        <v>7</v>
      </c>
      <c r="I3" s="10">
        <v>-60</v>
      </c>
      <c r="J3" s="10">
        <v>0</v>
      </c>
      <c r="K3" s="8">
        <f>SIGN(I3)*(ABS(I3)+ABS(J3/60))</f>
        <v>-60</v>
      </c>
      <c r="L3" s="15" t="s">
        <v>8</v>
      </c>
      <c r="M3" s="3">
        <f>-13030*LOG(COS(RADIANS(K3)))</f>
        <v>3922.4208435016735</v>
      </c>
      <c r="N3" s="3"/>
    </row>
    <row r="4" spans="7:14" ht="12">
      <c r="G4" s="1">
        <v>15</v>
      </c>
      <c r="H4" s="1" t="s">
        <v>6</v>
      </c>
      <c r="I4" s="10">
        <v>-80</v>
      </c>
      <c r="J4" s="10">
        <v>0</v>
      </c>
      <c r="K4" s="8">
        <f>SIGN(I4)*(ABS(I4)+ABS(J4/60))</f>
        <v>-80</v>
      </c>
      <c r="L4" s="15" t="s">
        <v>23</v>
      </c>
      <c r="M4" s="3">
        <f>-13030*LOG(COS(RADIANS(K4)))</f>
        <v>9907.09690294884</v>
      </c>
      <c r="N4" s="3"/>
    </row>
    <row r="5" spans="7:16" ht="12">
      <c r="G5" s="1">
        <v>16</v>
      </c>
      <c r="H5" s="1" t="s">
        <v>12</v>
      </c>
      <c r="I5" s="1">
        <f>INT(K5)</f>
        <v>5</v>
      </c>
      <c r="J5" s="3">
        <f>60*(K5-I5)</f>
        <v>51.95238278055502</v>
      </c>
      <c r="K5" s="8">
        <f>DEGREES(ACOS(1-2*10^(-M5/13030)))</f>
        <v>5.865873046342584</v>
      </c>
      <c r="L5" s="1" t="s">
        <v>13</v>
      </c>
      <c r="M5" s="3">
        <f>SUM(M2:M4)</f>
        <v>33643.711552348206</v>
      </c>
      <c r="N5" s="15" t="s">
        <v>9</v>
      </c>
      <c r="O5" s="1" t="s">
        <v>15</v>
      </c>
      <c r="P5" s="3">
        <f>2*100000*1/2*(1-COS(RADIANS(K5)))</f>
        <v>523.6133250197784</v>
      </c>
    </row>
    <row r="6" spans="7:16" ht="12.75">
      <c r="G6" s="1">
        <v>17</v>
      </c>
      <c r="H6" s="1" t="s">
        <v>27</v>
      </c>
      <c r="I6" s="1">
        <f>INT(K6)</f>
        <v>20</v>
      </c>
      <c r="J6" s="3">
        <f>60*(K6-I6)</f>
        <v>0</v>
      </c>
      <c r="K6" s="8">
        <f>ABS(K3-K4)</f>
        <v>20</v>
      </c>
      <c r="N6" s="15" t="s">
        <v>9</v>
      </c>
      <c r="O6" s="1" t="s">
        <v>24</v>
      </c>
      <c r="P6" s="3">
        <f>2*100000*1/2*(1-COS(RADIANS(ABS(K6))))</f>
        <v>6030.737921409157</v>
      </c>
    </row>
    <row r="7" spans="1:16" ht="12.75">
      <c r="A7" s="11"/>
      <c r="B7" s="11"/>
      <c r="G7" s="1">
        <v>18</v>
      </c>
      <c r="H7" s="1" t="s">
        <v>16</v>
      </c>
      <c r="I7" s="2">
        <f>INT(K7)</f>
        <v>69</v>
      </c>
      <c r="J7" s="13">
        <f>60*(K7-I7)</f>
        <v>8.430805089744808</v>
      </c>
      <c r="K7" s="8">
        <f>90-DEGREES(ACOS(1-P7/100000))</f>
        <v>69.14051341816241</v>
      </c>
      <c r="N7" s="1" t="s">
        <v>14</v>
      </c>
      <c r="O7" s="1" t="s">
        <v>10</v>
      </c>
      <c r="P7" s="3">
        <f>SUM(P5:P6)</f>
        <v>6554.351246428935</v>
      </c>
    </row>
    <row r="8" ht="12"/>
    <row r="9" ht="12"/>
    <row r="10" spans="7:16" ht="12">
      <c r="G10" s="1">
        <v>18</v>
      </c>
      <c r="H10" s="1" t="s">
        <v>6</v>
      </c>
      <c r="I10" s="1">
        <f>I4</f>
        <v>-80</v>
      </c>
      <c r="J10" s="1">
        <f>J4</f>
        <v>0</v>
      </c>
      <c r="K10" s="8">
        <f>ABS(K4)</f>
        <v>80</v>
      </c>
      <c r="N10" s="15" t="s">
        <v>9</v>
      </c>
      <c r="O10" s="1" t="s">
        <v>10</v>
      </c>
      <c r="P10" s="3">
        <f>2*100000*1/2*(1-COS(RADIANS(90-K10)))</f>
        <v>1519.224698779198</v>
      </c>
    </row>
    <row r="11" spans="1:16" ht="12">
      <c r="A11" s="12"/>
      <c r="B11" s="12" t="s">
        <v>21</v>
      </c>
      <c r="D11" s="9"/>
      <c r="F11" s="9"/>
      <c r="G11" s="1">
        <v>17</v>
      </c>
      <c r="H11" s="1" t="s">
        <v>22</v>
      </c>
      <c r="I11" s="1">
        <f>INT(K11)</f>
        <v>9</v>
      </c>
      <c r="J11" s="3">
        <f>60*(K11-I11)</f>
        <v>8.430805089744808</v>
      </c>
      <c r="K11" s="8">
        <f>IF(K4&lt;0,ABS(-1*K3-K7),ABS(K3-K7))</f>
        <v>9.140513418162413</v>
      </c>
      <c r="N11" s="15" t="s">
        <v>9</v>
      </c>
      <c r="O11" s="1" t="s">
        <v>24</v>
      </c>
      <c r="P11" s="3">
        <f>2*100000*1/2*(1-COS(RADIANS(ABS(K11))))</f>
        <v>1269.8272472473793</v>
      </c>
    </row>
    <row r="12" spans="7:16" ht="12">
      <c r="G12" s="1">
        <v>16</v>
      </c>
      <c r="H12" s="1" t="s">
        <v>12</v>
      </c>
      <c r="I12" s="1">
        <f>INT(K12)</f>
        <v>4</v>
      </c>
      <c r="J12" s="3">
        <f>60*(K12-I12)</f>
        <v>2.842775311664383</v>
      </c>
      <c r="K12" s="8">
        <f>DEGREES(ACOS(-P12/100000+1))</f>
        <v>4.04737958852774</v>
      </c>
      <c r="L12" s="1" t="s">
        <v>13</v>
      </c>
      <c r="M12" s="3">
        <f>-13030*LOG(1/2*(1-COS(RADIANS(K12))))</f>
        <v>37840.91793591774</v>
      </c>
      <c r="N12" s="1" t="s">
        <v>14</v>
      </c>
      <c r="O12" s="1" t="s">
        <v>15</v>
      </c>
      <c r="P12" s="3">
        <f>P10-P11</f>
        <v>249.39745153181866</v>
      </c>
    </row>
    <row r="13" spans="7:13" ht="12">
      <c r="G13" s="1">
        <v>15</v>
      </c>
      <c r="H13" s="1" t="s">
        <v>26</v>
      </c>
      <c r="I13" s="3">
        <f>I7</f>
        <v>69</v>
      </c>
      <c r="J13" s="3">
        <f>J7</f>
        <v>8.430805089744808</v>
      </c>
      <c r="K13" s="8">
        <f>K7</f>
        <v>69.14051341816241</v>
      </c>
      <c r="L13" s="15" t="s">
        <v>23</v>
      </c>
      <c r="M13" s="3">
        <f>-13030*LOG(COS(RADIANS(K13)))</f>
        <v>5843.377270357346</v>
      </c>
    </row>
    <row r="14" spans="7:13" ht="12.75">
      <c r="G14" s="1">
        <v>14</v>
      </c>
      <c r="H14" s="1" t="s">
        <v>7</v>
      </c>
      <c r="I14" s="1">
        <f>I3</f>
        <v>-60</v>
      </c>
      <c r="J14" s="1">
        <f>J3</f>
        <v>0</v>
      </c>
      <c r="K14" s="8">
        <f>ABS(K3)</f>
        <v>60</v>
      </c>
      <c r="L14" s="1" t="s">
        <v>8</v>
      </c>
      <c r="M14" s="3">
        <f>M3</f>
        <v>3922.4208435016735</v>
      </c>
    </row>
    <row r="15" spans="7:13" ht="12">
      <c r="G15" s="1">
        <v>13</v>
      </c>
      <c r="H15" s="1" t="s">
        <v>0</v>
      </c>
      <c r="I15" s="1">
        <f>INT(K15)</f>
        <v>9</v>
      </c>
      <c r="J15" s="3">
        <f>60*(K15-I15)</f>
        <v>36.084234423209054</v>
      </c>
      <c r="K15" s="8">
        <f>DEGREES(ACOS(1-2*10^(-M15/13030)))</f>
        <v>9.601403907053484</v>
      </c>
      <c r="L15" s="1" t="s">
        <v>3</v>
      </c>
      <c r="M15" s="3">
        <f>M12-M14-M13</f>
        <v>28075.11982205873</v>
      </c>
    </row>
    <row r="16" spans="8:11" ht="12.75">
      <c r="H16" s="1" t="s">
        <v>17</v>
      </c>
      <c r="I16" s="2"/>
      <c r="J16" s="13"/>
      <c r="K16" s="8"/>
    </row>
    <row r="17" spans="2:9" ht="12.75">
      <c r="B17" s="1" t="s">
        <v>5</v>
      </c>
      <c r="H17" s="7">
        <f>K15</f>
        <v>9.601403907053484</v>
      </c>
      <c r="I17" s="14" t="str">
        <f>IF(AND($K$4&gt;0,$K$2&gt;180),$H17,"")</f>
        <v/>
      </c>
    </row>
    <row r="18" spans="2:9" ht="12.75">
      <c r="B18" s="1" t="s">
        <v>20</v>
      </c>
      <c r="H18" s="8">
        <f>360-K15</f>
        <v>350.3985960929465</v>
      </c>
      <c r="I18" s="14" t="str">
        <f>IF(AND($K$4&gt;0,$K$2&lt;180),$H18,"")</f>
        <v/>
      </c>
    </row>
    <row r="19" spans="2:12" ht="12">
      <c r="B19" s="1" t="s">
        <v>11</v>
      </c>
      <c r="H19" s="8">
        <f>180+K15</f>
        <v>189.60140390705348</v>
      </c>
      <c r="I19" s="2" t="str">
        <f>IF(AND($K$4&lt;0,$K$2&lt;180),$H19,"")</f>
        <v/>
      </c>
      <c r="K19" s="6"/>
      <c r="L19" s="12"/>
    </row>
    <row r="20" spans="2:12" ht="12">
      <c r="B20" s="1" t="s">
        <v>25</v>
      </c>
      <c r="H20" s="8">
        <f>180-K15</f>
        <v>170.39859609294652</v>
      </c>
      <c r="I20" s="2">
        <f>IF(AND($K$4&lt;0,$K$2&gt;180),$H20,"")</f>
        <v>170.39859609294652</v>
      </c>
      <c r="K20" s="6"/>
      <c r="L20" s="12"/>
    </row>
    <row r="21" spans="1:9" ht="12.75">
      <c r="A21" s="9"/>
      <c r="B21" s="9"/>
      <c r="C21" s="9"/>
      <c r="D21" s="9"/>
      <c r="E21" s="9"/>
      <c r="F21" s="9"/>
      <c r="G21" s="9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NSWC 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Walden, David A.</dc:creator>
  <cp:keywords/>
  <dc:description/>
  <cp:lastModifiedBy> </cp:lastModifiedBy>
  <cp:lastPrinted>2005-12-05T16:08:00Z</cp:lastPrinted>
  <dcterms:created xsi:type="dcterms:W3CDTF">2005-11-16T12:33:41Z</dcterms:created>
  <dcterms:modified xsi:type="dcterms:W3CDTF">2007-10-05T03:13:11Z</dcterms:modified>
  <cp:category/>
  <cp:version/>
  <cp:contentType/>
  <cp:contentStatus/>
</cp:coreProperties>
</file>