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780" windowHeight="7770" activeTab="0"/>
  </bookViews>
  <sheets>
    <sheet name="Sheet1" sheetId="1" r:id="rId1"/>
  </sheets>
  <definedNames>
    <definedName name="a1_">'Sheet1'!$C$9</definedName>
    <definedName name="E_">'Sheet1'!$C$23</definedName>
    <definedName name="cq_">'Sheet1'!$C$28</definedName>
    <definedName name="b2_">'Sheet1'!$C$15</definedName>
    <definedName name="p2_">'Sheet1'!$C$17</definedName>
    <definedName name="D_">'Sheet1'!$C$22</definedName>
    <definedName name="b1_">'Sheet1'!$C$10</definedName>
    <definedName name="aq_">'Sheet1'!$C$26</definedName>
    <definedName name="p1_">'Sheet1'!$C$12</definedName>
    <definedName name="C_">'Sheet1'!$C$21</definedName>
    <definedName name="c2_">'Sheet1'!$C$16</definedName>
    <definedName name="B_">'Sheet1'!$C$20</definedName>
    <definedName name="c1_">'Sheet1'!$C$11</definedName>
    <definedName name="bq_">'Sheet1'!$C$27</definedName>
    <definedName name="a2_">'Sheet1'!$C$14</definedName>
    <definedName name="A_">'Sheet1'!$C$19</definedName>
    <definedName name="F_">'Sheet1'!$C$24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<sst xmlns="http://schemas.openxmlformats.org/spreadsheetml/2006/main" count="74" uniqueCount="60">
  <si>
    <t>gha</t>
  </si>
  <si>
    <t>ENTER THE GREEN</t>
  </si>
  <si>
    <t>BLACK ARE INTERMEDIATE</t>
  </si>
  <si>
    <t>RESULTS ARE RED</t>
  </si>
  <si>
    <t>Q=</t>
  </si>
  <si>
    <t>bearing=</t>
  </si>
  <si>
    <t>swi dec</t>
  </si>
  <si>
    <t>LAT2</t>
  </si>
  <si>
    <t>x2</t>
  </si>
  <si>
    <t>dec1</t>
  </si>
  <si>
    <t>F</t>
  </si>
  <si>
    <t>p2</t>
  </si>
  <si>
    <t>y2</t>
  </si>
  <si>
    <t>LONG2</t>
  </si>
  <si>
    <t>b1</t>
  </si>
  <si>
    <t>star 1 alt</t>
  </si>
  <si>
    <t>z2</t>
  </si>
  <si>
    <t>pi</t>
  </si>
  <si>
    <t>lat=</t>
  </si>
  <si>
    <t>swi alt</t>
  </si>
  <si>
    <t>PHI1</t>
  </si>
  <si>
    <t>altJ</t>
  </si>
  <si>
    <t>aq</t>
  </si>
  <si>
    <t>A</t>
  </si>
  <si>
    <t>GAM1</t>
  </si>
  <si>
    <t>p1</t>
  </si>
  <si>
    <t>ghaz</t>
  </si>
  <si>
    <t>swi gha</t>
  </si>
  <si>
    <t>delgha</t>
  </si>
  <si>
    <t>ghaJ</t>
  </si>
  <si>
    <t>cq</t>
  </si>
  <si>
    <t>C</t>
  </si>
  <si>
    <t>a2</t>
  </si>
  <si>
    <t>dec</t>
  </si>
  <si>
    <t>LAT 1</t>
  </si>
  <si>
    <t>D=</t>
  </si>
  <si>
    <t>LONG1</t>
  </si>
  <si>
    <t>x1</t>
  </si>
  <si>
    <t>alt1</t>
  </si>
  <si>
    <t>E</t>
  </si>
  <si>
    <t>c2</t>
  </si>
  <si>
    <t>y1</t>
  </si>
  <si>
    <t>a1</t>
  </si>
  <si>
    <t>enter min unsigned unless dec degrees equal zero, gha 0-360, alt 0-90</t>
  </si>
  <si>
    <t>z1</t>
  </si>
  <si>
    <t>case=</t>
  </si>
  <si>
    <t>angle=</t>
  </si>
  <si>
    <t>gha1</t>
  </si>
  <si>
    <t>c1</t>
  </si>
  <si>
    <t>d2r</t>
  </si>
  <si>
    <t>T=</t>
  </si>
  <si>
    <t>PHI2</t>
  </si>
  <si>
    <t>decJ</t>
  </si>
  <si>
    <t>bq</t>
  </si>
  <si>
    <t>B</t>
  </si>
  <si>
    <t>GAM2</t>
  </si>
  <si>
    <t>star2 alt</t>
  </si>
  <si>
    <t>delgha=</t>
  </si>
  <si>
    <t>D</t>
  </si>
  <si>
    <t>b2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</si>
</sst>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"/>
    <numFmt numFmtId="51" formatCode="0.000"/>
    <numFmt numFmtId="52" formatCode="0.0"/>
  </numFmts>
  <fonts count="7">
    <font>
      <sz val="10"/>
      <color indexed="8"/>
      <name val="Sans"/>
      <family val="0"/>
    </font>
    <font>
      <b/>
      <sz val="14"/>
      <color indexed="8"/>
      <name val="Sans"/>
      <family val="0"/>
    </font>
    <font>
      <b/>
      <sz val="16"/>
      <color indexed="8"/>
      <name val="Sans"/>
      <family val="0"/>
    </font>
    <font>
      <b/>
      <sz val="12"/>
      <color indexed="8"/>
      <name val="Sans"/>
      <family val="0"/>
    </font>
    <font>
      <b/>
      <sz val="10"/>
      <color indexed="63"/>
      <name val="Sans"/>
      <family val="0"/>
    </font>
    <font>
      <sz val="10"/>
      <name val="Sans"/>
      <family val="0"/>
    </font>
    <font>
      <b/>
      <sz val="10"/>
      <color indexed="10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50" fontId="6" fillId="0" borderId="0" xfId="0" applyNumberFormat="1" applyFont="1" applyFill="1" applyBorder="1" applyAlignment="1" applyProtection="1">
      <alignment/>
      <protection/>
    </xf>
    <xf numFmtId="51" fontId="5" fillId="0" borderId="0" xfId="0" applyNumberFormat="1" applyFont="1" applyFill="1" applyBorder="1" applyAlignment="1" applyProtection="1">
      <alignment horizontal="right"/>
      <protection/>
    </xf>
    <xf numFmtId="52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50" fontId="5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 horizontal="right"/>
      <protection/>
    </xf>
    <xf numFmtId="51" fontId="0" fillId="0" borderId="0" xfId="0" applyNumberFormat="1" applyFont="1" applyFill="1" applyBorder="1" applyAlignment="1" applyProtection="1">
      <alignment/>
      <protection/>
    </xf>
    <xf numFmtId="51" fontId="5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50" fontId="4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/>
      <protection/>
    </xf>
    <xf numFmtId="52" fontId="4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 horizontal="left"/>
      <protection/>
    </xf>
    <xf numFmtId="51" fontId="0" fillId="0" borderId="0" xfId="0" applyNumberFormat="1" applyFont="1" applyFill="1" applyBorder="1" applyAlignment="1" applyProtection="1">
      <alignment horizontal="right"/>
      <protection/>
    </xf>
    <xf numFmtId="50" fontId="5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7C7C7"/>
      <rgbColor rgb="000EC9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0" zoomScaleNormal="80" zoomScaleSheetLayoutView="1" workbookViewId="0" topLeftCell="B43">
      <selection activeCell="E58" sqref="E58"/>
    </sheetView>
  </sheetViews>
  <sheetFormatPr defaultColWidth="9.00390625" defaultRowHeight="12.75"/>
  <cols>
    <col min="1" max="1" width="8.875" style="9" customWidth="1"/>
    <col min="2" max="2" width="8.75390625" style="9" customWidth="1"/>
    <col min="3" max="3" width="14.25390625" style="2" customWidth="1"/>
    <col min="4" max="4" width="9.625" style="2" customWidth="1"/>
    <col min="5" max="5" width="11.375" style="2" customWidth="1"/>
    <col min="6" max="6" width="12.125" style="2" customWidth="1"/>
    <col min="7" max="7" width="10.75390625" style="2" customWidth="1"/>
    <col min="8" max="8" width="5.00390625" style="2" customWidth="1"/>
    <col min="9" max="9" width="9.25390625" style="2" customWidth="1"/>
    <col min="10" max="10" width="10.25390625" style="2" customWidth="1"/>
    <col min="11" max="11" width="10.75390625" style="2" customWidth="1"/>
    <col min="12" max="12" width="12.125" style="2" customWidth="1"/>
    <col min="13" max="13" width="10.625" style="2" customWidth="1"/>
    <col min="14" max="14" width="9.125" style="1" customWidth="1"/>
  </cols>
  <sheetData>
    <row r="1" spans="1:7" ht="15.75">
      <c r="A1" s="6"/>
      <c r="B1" s="13" t="s">
        <v>1</v>
      </c>
      <c r="D1" s="2" t="s">
        <v>2</v>
      </c>
      <c r="G1" s="3" t="s">
        <v>3</v>
      </c>
    </row>
    <row r="2" spans="1:7" ht="15.75">
      <c r="A2" s="6"/>
      <c r="B2" s="13" t="s">
        <v>43</v>
      </c>
      <c r="G2" s="3"/>
    </row>
    <row r="3" spans="2:9" ht="12.75">
      <c r="B3" s="9" t="s">
        <v>15</v>
      </c>
      <c r="C3" s="7">
        <v>32</v>
      </c>
      <c r="D3" s="15">
        <v>36</v>
      </c>
      <c r="E3" s="10">
        <f>C3+D3/60</f>
        <v>32.6</v>
      </c>
      <c r="F3" s="10">
        <f>90-E3</f>
        <v>57.4</v>
      </c>
      <c r="H3" s="2" t="s">
        <v>17</v>
      </c>
      <c r="I3" s="2">
        <f>4*ATAN(1)</f>
        <v>3.141592653589793</v>
      </c>
    </row>
    <row r="4" spans="2:9" ht="12.75">
      <c r="B4" s="9" t="s">
        <v>33</v>
      </c>
      <c r="C4" s="7">
        <v>16</v>
      </c>
      <c r="D4" s="15">
        <v>32</v>
      </c>
      <c r="E4" s="10">
        <f>C4+SIGN(C4+1E-30)*D4/60</f>
        <v>16.533333333333335</v>
      </c>
      <c r="F4" s="10">
        <f>E4</f>
        <v>16.533333333333335</v>
      </c>
      <c r="H4" s="2" t="s">
        <v>49</v>
      </c>
      <c r="I4" s="2">
        <f>I3/180</f>
        <v>0.017453292519943295</v>
      </c>
    </row>
    <row r="5" spans="2:6" ht="12.75">
      <c r="B5" s="9" t="s">
        <v>0</v>
      </c>
      <c r="C5" s="7">
        <v>290</v>
      </c>
      <c r="D5" s="15">
        <v>53</v>
      </c>
      <c r="E5" s="10">
        <f>C5+D5/60</f>
        <v>290.8833333333333</v>
      </c>
      <c r="F5" s="10">
        <f>360-E5</f>
        <v>69.11666666666667</v>
      </c>
    </row>
    <row r="6" spans="2:6" ht="12.75">
      <c r="B6" s="9" t="s">
        <v>56</v>
      </c>
      <c r="C6" s="7">
        <v>33</v>
      </c>
      <c r="D6" s="15">
        <v>0</v>
      </c>
      <c r="E6" s="10">
        <f>C6+D6/60</f>
        <v>33</v>
      </c>
      <c r="F6" s="10">
        <f>90-E6</f>
        <v>57</v>
      </c>
    </row>
    <row r="7" spans="2:6" ht="12.75">
      <c r="B7" s="9" t="s">
        <v>33</v>
      </c>
      <c r="C7" s="7">
        <v>-17</v>
      </c>
      <c r="D7" s="15">
        <v>56</v>
      </c>
      <c r="E7" s="10">
        <f>C7+SIGN(C7+1E-30)*D7/60</f>
        <v>-17.933333333333334</v>
      </c>
      <c r="F7" s="10">
        <f>E7</f>
        <v>-17.933333333333334</v>
      </c>
    </row>
    <row r="8" spans="2:6" ht="12.75">
      <c r="B8" s="9" t="s">
        <v>0</v>
      </c>
      <c r="C8" s="7">
        <v>348</v>
      </c>
      <c r="D8" s="15">
        <v>59</v>
      </c>
      <c r="E8" s="10">
        <f>C8+D8/60</f>
        <v>348.98333333333335</v>
      </c>
      <c r="F8" s="10">
        <f>360-E8</f>
        <v>11.016666666666652</v>
      </c>
    </row>
    <row r="9" spans="2:3" ht="12.75">
      <c r="B9" s="9" t="s">
        <v>42</v>
      </c>
      <c r="C9" s="2">
        <f>COS(F5*I4)*COS(F4*I4)</f>
        <v>0.34172790311339263</v>
      </c>
    </row>
    <row r="10" spans="2:3" ht="12.75">
      <c r="B10" s="9" t="s">
        <v>14</v>
      </c>
      <c r="C10" s="2">
        <f>SIN(F5*I4)*COS(F4*I4)</f>
        <v>0.8956786155043601</v>
      </c>
    </row>
    <row r="11" spans="2:3" ht="12.75">
      <c r="B11" s="9" t="s">
        <v>48</v>
      </c>
      <c r="C11" s="2">
        <f>SIN(F4*I4)</f>
        <v>0.28457311531821905</v>
      </c>
    </row>
    <row r="12" spans="2:3" ht="12.75">
      <c r="B12" s="9" t="s">
        <v>25</v>
      </c>
      <c r="C12" s="2">
        <f>COS(I4*F3)</f>
        <v>0.538770785006863</v>
      </c>
    </row>
    <row r="13" ht="12.75"/>
    <row r="14" spans="2:3" ht="12.75">
      <c r="B14" s="9" t="s">
        <v>32</v>
      </c>
      <c r="C14" s="2">
        <f>COS(F8*I4)*COS(F7*I4)</f>
        <v>0.9338824018998475</v>
      </c>
    </row>
    <row r="15" spans="2:3" ht="12.75">
      <c r="B15" s="9" t="s">
        <v>59</v>
      </c>
      <c r="C15" s="2">
        <f>SIN(F8*I4)*COS(F7*I4)</f>
        <v>0.18181028545456052</v>
      </c>
    </row>
    <row r="16" spans="2:3" ht="12.75">
      <c r="B16" s="9" t="s">
        <v>40</v>
      </c>
      <c r="C16" s="2">
        <f>SIN(F7*I4)</f>
        <v>-0.307910180937076</v>
      </c>
    </row>
    <row r="17" spans="2:3" ht="12.75">
      <c r="B17" s="9" t="s">
        <v>11</v>
      </c>
      <c r="C17" s="2">
        <f>COS(I4*F6)</f>
        <v>0.5446390350150271</v>
      </c>
    </row>
    <row r="18" ht="12.75"/>
    <row r="19" spans="2:3" ht="12.75">
      <c r="B19" s="9" t="s">
        <v>23</v>
      </c>
      <c r="C19" s="2">
        <f>a1_*b2_-a2_*b1_</f>
        <v>-0.7743288491647075</v>
      </c>
    </row>
    <row r="20" spans="2:3" ht="12.75">
      <c r="B20" s="9" t="s">
        <v>54</v>
      </c>
      <c r="C20" s="2">
        <f>b2_*c1_-b1_*c2_</f>
        <v>0.32752688389011625</v>
      </c>
    </row>
    <row r="21" spans="2:3" ht="12.75">
      <c r="B21" s="9" t="s">
        <v>31</v>
      </c>
      <c r="C21" s="2">
        <f>b2_*p1_-b1_*p2_</f>
        <v>-0.38986746661521476</v>
      </c>
    </row>
    <row r="22" spans="2:3" ht="12.75">
      <c r="B22" s="9" t="s">
        <v>58</v>
      </c>
      <c r="C22" s="2">
        <f>a1_*c2_-a2_*c1_</f>
        <v>-0.370979324928393</v>
      </c>
    </row>
    <row r="23" spans="2:3" ht="12.75">
      <c r="B23" s="9" t="s">
        <v>39</v>
      </c>
      <c r="C23" s="2">
        <f>b1_*c2_-b2_*c1_</f>
        <v>-0.32752688389011625</v>
      </c>
    </row>
    <row r="24" spans="2:3" ht="12.75">
      <c r="B24" s="9" t="s">
        <v>10</v>
      </c>
      <c r="C24" s="2">
        <f>c2_*p1_-c1_*p2_</f>
        <v>-0.3208826368132085</v>
      </c>
    </row>
    <row r="25" ht="12.75"/>
    <row r="26" spans="2:3" ht="12.75">
      <c r="B26" s="9" t="s">
        <v>22</v>
      </c>
      <c r="C26" s="2">
        <f>1+D_^2/E_^2+A_^2/B_^2</f>
        <v>7.8722317667660455</v>
      </c>
    </row>
    <row r="27" spans="2:3" ht="12.75">
      <c r="B27" s="9" t="s">
        <v>53</v>
      </c>
      <c r="C27" s="2">
        <f>-2*C24*C22/C23^2-2*C19*C21/C20^2</f>
        <v>-7.847698442639729</v>
      </c>
    </row>
    <row r="28" spans="2:3" ht="12.75">
      <c r="B28" s="9" t="s">
        <v>30</v>
      </c>
      <c r="C28" s="2">
        <f>C24^2/C23^2+C21^2/C20^2-1</f>
        <v>1.37674218971573</v>
      </c>
    </row>
    <row r="29" ht="12.75"/>
    <row r="30" spans="2:13" ht="12.75">
      <c r="B30" s="9" t="s">
        <v>37</v>
      </c>
      <c r="C30" s="10">
        <f>(-bq_+(bq_^2-4*aq_*cq_)^0.5)/(2*aq_)</f>
        <v>0.7696581662686868</v>
      </c>
      <c r="D30" s="17" t="s">
        <v>41</v>
      </c>
      <c r="E30" s="10">
        <f>(C24-C22*C30)/C23</f>
        <v>0.10794646670008258</v>
      </c>
      <c r="F30" s="17" t="s">
        <v>44</v>
      </c>
      <c r="G30" s="10">
        <f>(C21-C19*C30)/C20</f>
        <v>0.6292645448639951</v>
      </c>
      <c r="H30" s="6"/>
      <c r="I30" s="6"/>
      <c r="J30" s="6"/>
      <c r="K30" s="6"/>
      <c r="L30" s="6"/>
      <c r="M30" s="6"/>
    </row>
    <row r="31" spans="2:13" ht="12.75">
      <c r="B31" s="9" t="s">
        <v>8</v>
      </c>
      <c r="C31" s="10">
        <f>(-C27-(C27^2-4*C26*C28)^0.5)/(2*C26)</f>
        <v>0.22722539548950635</v>
      </c>
      <c r="D31" s="17" t="s">
        <v>12</v>
      </c>
      <c r="E31" s="10">
        <f>(C24-C22*C31)/C23</f>
        <v>0.72234288122528</v>
      </c>
      <c r="F31" s="17" t="s">
        <v>16</v>
      </c>
      <c r="G31" s="10">
        <f>(C21-C19*C31)/C20</f>
        <v>-0.6531381029979789</v>
      </c>
      <c r="H31" s="6"/>
      <c r="I31" s="6"/>
      <c r="J31" s="6"/>
      <c r="K31" s="6"/>
      <c r="L31" s="6"/>
      <c r="M31" s="6"/>
    </row>
    <row r="32" spans="3:13" ht="16.5">
      <c r="C32" s="10"/>
      <c r="D32" s="10"/>
      <c r="E32" s="10"/>
      <c r="F32" s="10"/>
      <c r="G32" s="10"/>
      <c r="H32" s="6"/>
      <c r="I32" s="6"/>
      <c r="J32" s="6"/>
      <c r="K32" s="6"/>
      <c r="L32" s="6"/>
      <c r="M32" s="6"/>
    </row>
    <row r="33" spans="2:13" ht="15.75">
      <c r="B33" s="9" t="s">
        <v>20</v>
      </c>
      <c r="C33" s="8">
        <f>1/I4*ATAN2((C30^2+E30^2)^0.5,G30)</f>
        <v>38.99588280989896</v>
      </c>
      <c r="D33" s="8">
        <f>60*(ABS(C33)-INT(ABS(C33)))</f>
        <v>59.75296859393751</v>
      </c>
      <c r="E33" s="18" t="s">
        <v>24</v>
      </c>
      <c r="F33" s="8">
        <f>1/I4*ATAN2(C30,E30)</f>
        <v>7.983797866079844</v>
      </c>
      <c r="G33" s="8">
        <f>60*(ABS(F33)-INT(ABS(F33)))</f>
        <v>59.02787196479066</v>
      </c>
      <c r="H33" s="6"/>
      <c r="I33" s="6"/>
      <c r="J33" s="6"/>
      <c r="K33" s="6"/>
      <c r="L33" s="6"/>
      <c r="M33" s="6"/>
    </row>
    <row r="34" spans="2:13" ht="18.75" customHeight="1">
      <c r="B34" s="9" t="s">
        <v>51</v>
      </c>
      <c r="C34" s="8">
        <f>1/I4*ATAN2((C31^2+E31^2)^0.5,G31)</f>
        <v>-40.778621381128765</v>
      </c>
      <c r="D34" s="8">
        <f>60*(ABS(C34)-INT(ABS(C34)))</f>
        <v>46.71728286772591</v>
      </c>
      <c r="E34" s="18" t="s">
        <v>55</v>
      </c>
      <c r="F34" s="8">
        <f>1/I4*ATAN2(C31,E31)</f>
        <v>72.53813336057091</v>
      </c>
      <c r="G34" s="8">
        <f>60*(ABS(F34)-INT(ABS(F34)))</f>
        <v>32.28800163425461</v>
      </c>
      <c r="H34" s="6"/>
      <c r="I34" s="6"/>
      <c r="J34" s="6"/>
      <c r="K34" s="6"/>
      <c r="L34" s="6"/>
      <c r="M34" s="6"/>
    </row>
    <row r="35" spans="3:13" ht="12.75">
      <c r="C35" s="11"/>
      <c r="D35" s="11"/>
      <c r="E35" s="4"/>
      <c r="F35" s="11"/>
      <c r="G35" s="11"/>
      <c r="H35" s="6"/>
      <c r="I35" s="6"/>
      <c r="J35" s="6"/>
      <c r="K35" s="6"/>
      <c r="L35" s="6"/>
      <c r="M35" s="6"/>
    </row>
    <row r="36" spans="2:7" ht="15.75">
      <c r="B36" s="9" t="s">
        <v>34</v>
      </c>
      <c r="C36" s="12">
        <f>SIGN(C33)*INT(ABS(C33))</f>
        <v>38</v>
      </c>
      <c r="D36" s="5">
        <f>D33</f>
        <v>59.75296859393751</v>
      </c>
      <c r="E36" s="9" t="s">
        <v>36</v>
      </c>
      <c r="F36" s="12">
        <f>SIGN(F33)*INT(ABS(F33))</f>
        <v>7</v>
      </c>
      <c r="G36" s="5">
        <f>G33</f>
        <v>59.02787196479066</v>
      </c>
    </row>
    <row r="37" spans="3:7" ht="15.75">
      <c r="C37" s="12"/>
      <c r="D37" s="5"/>
      <c r="E37" s="9"/>
      <c r="F37" s="12"/>
      <c r="G37" s="5"/>
    </row>
    <row r="38" spans="2:7" ht="15.75">
      <c r="B38" s="9" t="s">
        <v>7</v>
      </c>
      <c r="C38" s="12">
        <f>SIGN(C34)*INT(ABS(C34))</f>
        <v>-40</v>
      </c>
      <c r="D38" s="5">
        <f>D34</f>
        <v>46.71728286772591</v>
      </c>
      <c r="E38" s="9" t="s">
        <v>13</v>
      </c>
      <c r="F38" s="12">
        <f>SIGN(F34)*INT(ABS(F34))</f>
        <v>72</v>
      </c>
      <c r="G38" s="5">
        <f>G34</f>
        <v>32.28800163425461</v>
      </c>
    </row>
    <row r="39" ht="15.75">
      <c r="C39" s="12"/>
    </row>
    <row r="41" ht="15.75">
      <c r="A41" s="6"/>
    </row>
    <row r="42" spans="2:3" ht="12.75">
      <c r="B42" s="9" t="s">
        <v>28</v>
      </c>
      <c r="C42" s="2">
        <f>E8-E5</f>
        <v>58.10000000000002</v>
      </c>
    </row>
    <row r="43" ht="12.75">
      <c r="C43" s="2">
        <f>IF(C42&lt;0,C42+360,C42)</f>
        <v>58.10000000000002</v>
      </c>
    </row>
    <row r="44" spans="2:4" ht="12.75">
      <c r="B44" s="9" t="s">
        <v>19</v>
      </c>
      <c r="C44" s="2">
        <f>IF(C$43&lt;180,E3,E6)</f>
        <v>32.6</v>
      </c>
      <c r="D44" s="2" t="s">
        <v>38</v>
      </c>
    </row>
    <row r="45" spans="2:4" ht="12.75">
      <c r="B45" s="9" t="s">
        <v>6</v>
      </c>
      <c r="C45" s="2">
        <f>IF(C$43&lt;180,E4,E7)</f>
        <v>16.533333333333335</v>
      </c>
      <c r="D45" s="2" t="s">
        <v>9</v>
      </c>
    </row>
    <row r="46" spans="2:4" ht="12.75">
      <c r="B46" s="9" t="s">
        <v>27</v>
      </c>
      <c r="C46" s="2">
        <f>IF(C$43&lt;180,E5,E8)</f>
        <v>290.8833333333333</v>
      </c>
      <c r="D46" s="2" t="s">
        <v>47</v>
      </c>
    </row>
    <row r="47" spans="2:4" ht="15.75">
      <c r="B47" s="9" t="s">
        <v>19</v>
      </c>
      <c r="C47" s="2">
        <f>IF(C$43&lt;180,E6,E3)</f>
        <v>33</v>
      </c>
      <c r="D47" s="2" t="s">
        <v>21</v>
      </c>
    </row>
    <row r="48" spans="2:4" ht="15.75">
      <c r="B48" s="9" t="s">
        <v>6</v>
      </c>
      <c r="C48" s="2">
        <f>IF(C$43&lt;180,E7,E4)</f>
        <v>-17.933333333333334</v>
      </c>
      <c r="D48" s="2" t="s">
        <v>52</v>
      </c>
    </row>
    <row r="49" spans="2:4" ht="15.75">
      <c r="B49" s="9" t="s">
        <v>27</v>
      </c>
      <c r="C49" s="2">
        <f>IF(C$43&lt;180,E8,E5)</f>
        <v>348.98333333333335</v>
      </c>
      <c r="D49" s="2" t="s">
        <v>29</v>
      </c>
    </row>
    <row r="50" spans="2:3" ht="12.75">
      <c r="B50" s="9" t="s">
        <v>57</v>
      </c>
      <c r="C50" s="2">
        <f>C49-C46</f>
        <v>58.10000000000002</v>
      </c>
    </row>
    <row r="51" spans="2:3" ht="12.75">
      <c r="B51" s="9" t="s">
        <v>35</v>
      </c>
      <c r="C51" s="2">
        <f>1/I4*ACOS(SIN(I4*C48)*SIN(I4*C45)+COS(I4*C48)*COS(I4*C45)*COS(I4*C50))</f>
        <v>66.77429048957089</v>
      </c>
    </row>
    <row r="52" spans="2:3" ht="12.75">
      <c r="B52" s="9" t="s">
        <v>5</v>
      </c>
      <c r="C52" s="2">
        <f>1/I4*ACOS((SIN(I4*C45)-SIN(I4*C48)*COS(I4*C51))/(COS(I4*C48)*SIN(I4*C51)))</f>
        <v>62.330920821011745</v>
      </c>
    </row>
    <row r="53" spans="2:3" ht="12.75">
      <c r="B53" s="9" t="s">
        <v>46</v>
      </c>
      <c r="C53" s="2">
        <f>1/I4*ACOS((SIN(I4*C44)-SIN(I4*C47)*COS(I4*C51))/(COS(I4*C47)*SIN(I4*C51)))</f>
        <v>65.14127730786998</v>
      </c>
    </row>
    <row r="54" spans="2:3" ht="12.75">
      <c r="B54" s="9" t="s">
        <v>4</v>
      </c>
      <c r="C54" s="2">
        <f>IF(C52&gt;C53,C52-C53,C53-C52)</f>
        <v>2.8103564868582396</v>
      </c>
    </row>
    <row r="55" spans="2:3" ht="12.75">
      <c r="B55" s="9" t="s">
        <v>45</v>
      </c>
      <c r="C55" s="14">
        <f>IF(C52&gt;C53,1,2)</f>
        <v>2</v>
      </c>
    </row>
    <row r="56" spans="2:3" ht="12.75">
      <c r="B56" s="9" t="s">
        <v>18</v>
      </c>
      <c r="C56" s="2">
        <f>1/I$4*ASIN(SIN(I$4*C$47)*SIN(I$4*C$48)+COS(I$4*C$47)*COS(I$4*C$48)*COS(I$4*C$54))</f>
        <v>38.99588280989895</v>
      </c>
    </row>
    <row r="57" spans="2:3" ht="12.75">
      <c r="B57" s="9" t="s">
        <v>50</v>
      </c>
      <c r="C57" s="2">
        <f>1/I4*ACOS((SIN(I4*C47)-SIN(I4*C48)*SIN(I4*C56))/(COS(I4*C48)*COS(I4*C56)))</f>
        <v>3.032868800586777</v>
      </c>
    </row>
    <row r="58" spans="2:3" ht="12.75">
      <c r="B58" s="9" t="s">
        <v>26</v>
      </c>
      <c r="C58" s="2">
        <f>IF(OR(C55=1,C55=3),C49-C57,C49+C57)</f>
        <v>352.0162021339201</v>
      </c>
    </row>
    <row r="59" spans="2:3" ht="12.75">
      <c r="B59" s="9" t="s">
        <v>4</v>
      </c>
      <c r="C59" s="2">
        <f>IF(C52+C53&lt;180,C52+C53,360-(C52+C53))</f>
        <v>127.47219812888173</v>
      </c>
    </row>
    <row r="60" spans="2:3" ht="15.75">
      <c r="B60" s="9" t="s">
        <v>45</v>
      </c>
      <c r="C60" s="14">
        <f>IF(C52+C53&lt;180,3,4)</f>
        <v>3</v>
      </c>
    </row>
    <row r="61" spans="2:3" ht="15.75">
      <c r="B61" s="9" t="s">
        <v>18</v>
      </c>
      <c r="C61" s="2">
        <f>1/I$4*ASIN(SIN(I$4*C$47)*SIN(I$4*C$48)+COS(I$4*C$47)*COS(I$4*C$48)*COS(I$4*C$59))</f>
        <v>-40.77862138112876</v>
      </c>
    </row>
    <row r="62" spans="2:3" ht="15.75">
      <c r="B62" s="9" t="s">
        <v>50</v>
      </c>
      <c r="C62" s="2">
        <f>1/I4*ACOS((SIN(I4*C47)-SIN(I4*C48)*SIN(I4*C61))/(COS(I4*C48)*COS(I4*C61)))</f>
        <v>61.52146669390426</v>
      </c>
    </row>
    <row r="63" spans="2:3" ht="15.75">
      <c r="B63" s="9" t="s">
        <v>26</v>
      </c>
      <c r="C63" s="2">
        <f>IF(OR(C60=1,C60=3),C49-C62,C49+C62)</f>
        <v>287.4618666394291</v>
      </c>
    </row>
    <row r="65" spans="2:7" ht="15.75">
      <c r="B65" s="9" t="s">
        <v>34</v>
      </c>
      <c r="C65" s="12">
        <f>SIGN(C56)*INT(ABS(C56))</f>
        <v>38</v>
      </c>
      <c r="D65" s="5">
        <f>60*(ABS(C56)-INT(ABS(C56)))</f>
        <v>59.752968593937084</v>
      </c>
      <c r="E65" s="9" t="s">
        <v>36</v>
      </c>
      <c r="F65" s="12">
        <f>SIGN(-C58)*INT(ABS(-C58))</f>
        <v>-352</v>
      </c>
      <c r="G65" s="5">
        <f>60*(ABS(-C58)-INT(ABS(-C58)))</f>
        <v>0.9721280352061967</v>
      </c>
    </row>
    <row r="66" spans="3:7" ht="12.75">
      <c r="C66" s="12"/>
      <c r="D66" s="5"/>
      <c r="E66" s="9"/>
      <c r="F66" s="12"/>
      <c r="G66" s="5"/>
    </row>
    <row r="67" spans="2:7" ht="15.75">
      <c r="B67" s="9" t="s">
        <v>7</v>
      </c>
      <c r="C67" s="12">
        <f>SIGN(C61)*INT(ABS(C61))</f>
        <v>-40</v>
      </c>
      <c r="D67" s="5">
        <f>60*(ABS(C61)-INT(ABS(C61)))</f>
        <v>46.71728286772549</v>
      </c>
      <c r="E67" s="9" t="s">
        <v>13</v>
      </c>
      <c r="F67" s="12">
        <f>SIGN(-C63)*INT(ABS(-C63))</f>
        <v>-287</v>
      </c>
      <c r="G67" s="5">
        <f>60*(ABS(-C63)-INT(ABS(-C63)))</f>
        <v>27.71199836574624</v>
      </c>
    </row>
    <row r="68" ht="15.75">
      <c r="C68" s="12"/>
    </row>
  </sheetData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 scale="93"/>
  <headerFooter alignWithMargins="0">
    <oddHeader>&amp;L&amp;[TAB]</oddHeader>
    <oddFooter>&amp;LPage 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