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0950" windowHeight="6165" firstSheet="1" activeTab="5"/>
  </bookViews>
  <sheets>
    <sheet name="Compare" sheetId="1" r:id="rId1"/>
    <sheet name="Ageton" sheetId="2" r:id="rId2"/>
    <sheet name="HO208" sheetId="3" r:id="rId3"/>
    <sheet name="NautAlm" sheetId="4" r:id="rId4"/>
    <sheet name="JustLetcher208" sheetId="5" r:id="rId5"/>
    <sheet name="HO211Ageton" sheetId="6" r:id="rId6"/>
  </sheets>
  <definedNames>
    <definedName name="Dec">'NautAlm'!$D$4</definedName>
    <definedName name="decpi">'NautAlm'!$F$4</definedName>
    <definedName name="deg2rad">'NautAlm'!$G$2</definedName>
    <definedName name="LAT">'NautAlm'!$D$3</definedName>
    <definedName name="latpi">'NautAlm'!$F$3</definedName>
    <definedName name="LHA">'NautAlm'!$D$5</definedName>
    <definedName name="lhapi">'NautAlm'!$F$5</definedName>
    <definedName name="rad2deg">'NautAlm'!$C$2</definedName>
  </definedNames>
  <calcPr fullCalcOnLoad="1"/>
</workbook>
</file>

<file path=xl/sharedStrings.xml><?xml version="1.0" encoding="utf-8"?>
<sst xmlns="http://schemas.openxmlformats.org/spreadsheetml/2006/main" count="441" uniqueCount="286">
  <si>
    <t>Steps 18--35 from Buchanek &amp; Bergin p338</t>
  </si>
  <si>
    <t>Enter Deg</t>
  </si>
  <si>
    <t>Min</t>
  </si>
  <si>
    <t>selected</t>
  </si>
  <si>
    <t>randx</t>
  </si>
  <si>
    <t>dec=</t>
  </si>
  <si>
    <t>LHA=</t>
  </si>
  <si>
    <t xml:space="preserve">Step 18 </t>
  </si>
  <si>
    <t>calc t</t>
  </si>
  <si>
    <t>one line t=</t>
  </si>
  <si>
    <t>Step 19</t>
  </si>
  <si>
    <t>using t, look up A</t>
  </si>
  <si>
    <t>A=</t>
  </si>
  <si>
    <t>Step 20</t>
  </si>
  <si>
    <t>using dec, look up B</t>
  </si>
  <si>
    <t>B=</t>
  </si>
  <si>
    <t xml:space="preserve">Step 21 </t>
  </si>
  <si>
    <t>look up A for dec at same time</t>
  </si>
  <si>
    <t>also enter at 23</t>
  </si>
  <si>
    <t>Step 22</t>
  </si>
  <si>
    <t>19+20=</t>
  </si>
  <si>
    <t>Step 23</t>
  </si>
  <si>
    <t>copy of 21</t>
  </si>
  <si>
    <t>Step 24</t>
  </si>
  <si>
    <t>enter with 22 as A, then read B</t>
  </si>
  <si>
    <t>angle cor to A</t>
  </si>
  <si>
    <t>deg</t>
  </si>
  <si>
    <t>Step 25</t>
  </si>
  <si>
    <t>subtract 24 from 23</t>
  </si>
  <si>
    <t>Step 26</t>
  </si>
  <si>
    <t>enter with 25 as A, read angle</t>
  </si>
  <si>
    <t>degrees</t>
  </si>
  <si>
    <t>Step 27</t>
  </si>
  <si>
    <t>enter lat (from top)</t>
  </si>
  <si>
    <t>Step 28</t>
  </si>
  <si>
    <t>subtract 26 from 27</t>
  </si>
  <si>
    <t xml:space="preserve">Step 29 </t>
  </si>
  <si>
    <t>enter table with 28, read B</t>
  </si>
  <si>
    <t>Step 30</t>
  </si>
  <si>
    <t>copy of step 24</t>
  </si>
  <si>
    <t>Step 31</t>
  </si>
  <si>
    <t>add 29+30</t>
  </si>
  <si>
    <t>Step 32</t>
  </si>
  <si>
    <t>copy step 22</t>
  </si>
  <si>
    <t>Step 33</t>
  </si>
  <si>
    <t>enter with 31 as A, then read B</t>
  </si>
  <si>
    <t>angle cor to B</t>
  </si>
  <si>
    <t>Hc</t>
  </si>
  <si>
    <t>Hc Meeus p93</t>
  </si>
  <si>
    <t>Zn from Meeus</t>
  </si>
  <si>
    <t>Step 34</t>
  </si>
  <si>
    <t>subtract 33 from 32</t>
  </si>
  <si>
    <t>Z Value</t>
  </si>
  <si>
    <t>Step 35</t>
  </si>
  <si>
    <t>enter with 34 as A, read angle</t>
  </si>
  <si>
    <t>Z</t>
  </si>
  <si>
    <t>Step 49</t>
  </si>
  <si>
    <t>Zn from Z</t>
  </si>
  <si>
    <t>Zn</t>
  </si>
  <si>
    <t>Step 1</t>
  </si>
  <si>
    <t>assign t(LHA), d(dec), L(lat)</t>
  </si>
  <si>
    <t>Lat</t>
  </si>
  <si>
    <t>hc=</t>
  </si>
  <si>
    <t>0-180=west  180-360=east</t>
  </si>
  <si>
    <t>LHA(0-360)</t>
  </si>
  <si>
    <t>Z=</t>
  </si>
  <si>
    <t>ZN=</t>
  </si>
  <si>
    <t>dec</t>
  </si>
  <si>
    <t>random</t>
  </si>
  <si>
    <t>fixed</t>
  </si>
  <si>
    <t>Input LHA=</t>
  </si>
  <si>
    <t>Equations for 208, from 1939 Dutton pg 305</t>
  </si>
  <si>
    <t>a=</t>
  </si>
  <si>
    <t>log sec like in 208 table</t>
  </si>
  <si>
    <t>Z to Zn conversion</t>
  </si>
  <si>
    <t>b=</t>
  </si>
  <si>
    <t>(with sign adjust)</t>
  </si>
  <si>
    <t>in degrees like in 208 table</t>
  </si>
  <si>
    <t>Z'=</t>
  </si>
  <si>
    <t>t based on LHA =</t>
  </si>
  <si>
    <t>MAX(C6:C9)</t>
  </si>
  <si>
    <t>Z"=</t>
  </si>
  <si>
    <t>One line t calc</t>
  </si>
  <si>
    <t>Z=Z'+Z"=</t>
  </si>
  <si>
    <t>Zn=</t>
  </si>
  <si>
    <t>via 1 eq,hc=</t>
  </si>
  <si>
    <t>Letcher pg108</t>
  </si>
  <si>
    <t>same eq as Buchanek and Bergin pg717</t>
  </si>
  <si>
    <t>via 1 eq,Z=</t>
  </si>
  <si>
    <t>Step 2</t>
  </si>
  <si>
    <t>table I extract on L and t</t>
  </si>
  <si>
    <t>C=</t>
  </si>
  <si>
    <t>using NautAlm Z&gt;Zn</t>
  </si>
  <si>
    <t>Naut Almanac equations</t>
  </si>
  <si>
    <t>Step 3</t>
  </si>
  <si>
    <t>sign adjust b,Z'</t>
  </si>
  <si>
    <t>Step 4</t>
  </si>
  <si>
    <t>add d+b</t>
  </si>
  <si>
    <t>d+b=</t>
  </si>
  <si>
    <t>Step 5</t>
  </si>
  <si>
    <t>table II extract with d+b</t>
  </si>
  <si>
    <t>D=</t>
  </si>
  <si>
    <t>Hall Solution from Noer pg 64</t>
  </si>
  <si>
    <t>K=</t>
  </si>
  <si>
    <t>z=</t>
  </si>
  <si>
    <t>Step 6</t>
  </si>
  <si>
    <t>add B+A, extract table II, col B</t>
  </si>
  <si>
    <t>B+A=</t>
  </si>
  <si>
    <t>via atan2(x,y)</t>
  </si>
  <si>
    <t>Step 7</t>
  </si>
  <si>
    <t>add C+D</t>
  </si>
  <si>
    <t>C+D=</t>
  </si>
  <si>
    <t>subt 10000 if need</t>
  </si>
  <si>
    <t>Step 8</t>
  </si>
  <si>
    <t>using C+D, extract Z'' from table II</t>
  </si>
  <si>
    <t>Z''=</t>
  </si>
  <si>
    <t>Step 9</t>
  </si>
  <si>
    <t>sign adjust Z''</t>
  </si>
  <si>
    <t>Step  10</t>
  </si>
  <si>
    <t>Add Z' and Z'', IGNORE SIGN OF Z</t>
  </si>
  <si>
    <t>Z=Z'+Z''=</t>
  </si>
  <si>
    <t>lat&gt;0  LHA&gt;180</t>
  </si>
  <si>
    <t>lat&gt;0  LHA&lt;180</t>
  </si>
  <si>
    <t>lat&lt;0  LHA&gt;180</t>
  </si>
  <si>
    <t>lat&lt;0  LHA&lt;180</t>
  </si>
  <si>
    <t>LHA</t>
  </si>
  <si>
    <t>Ageton Hc</t>
  </si>
  <si>
    <t>Ageton Zn</t>
  </si>
  <si>
    <t>HO 208 Hc</t>
  </si>
  <si>
    <t>HO 208 Zn</t>
  </si>
  <si>
    <t>Random Generator Line</t>
  </si>
  <si>
    <t>Meeus Hc</t>
  </si>
  <si>
    <t>Meeus Zn</t>
  </si>
  <si>
    <t>delta Hc 2</t>
  </si>
  <si>
    <t>delta Hc1</t>
  </si>
  <si>
    <t>is = K</t>
  </si>
  <si>
    <t>forbidden zone of t or K near 90deg, from WWW write up</t>
  </si>
  <si>
    <t>Lat(-90-90)=</t>
  </si>
  <si>
    <t>dec(-90-90)=</t>
  </si>
  <si>
    <t>use Bwdtch p535 to chnge sign Hc</t>
  </si>
  <si>
    <t>dellta Zn 1</t>
  </si>
  <si>
    <t>dellta Zn 2</t>
  </si>
  <si>
    <t>by Henning Umland (in compact.zip)</t>
  </si>
  <si>
    <t>"=IF(OR(AND(E12&gt;82,E12&lt;98),AND(G35&gt;82,G35&lt;98)),-100,100)</t>
  </si>
  <si>
    <t>Lat=</t>
  </si>
  <si>
    <r>
      <t xml:space="preserve">Negative </t>
    </r>
    <r>
      <rPr>
        <b/>
        <sz val="10"/>
        <color indexed="10"/>
        <rFont val="Arial"/>
        <family val="2"/>
      </rPr>
      <t>Hc</t>
    </r>
    <r>
      <rPr>
        <sz val="10"/>
        <rFont val="Arial"/>
        <family val="0"/>
      </rPr>
      <t xml:space="preserve"> fixes from Bowditch p539</t>
    </r>
  </si>
  <si>
    <t>forbid Dutton1939 p317, K=87.4--92.5</t>
  </si>
  <si>
    <t>K from equations, Dutton1939 p315</t>
  </si>
  <si>
    <t>R=</t>
  </si>
  <si>
    <t>(is Step 24 result)</t>
  </si>
  <si>
    <t>Hc=</t>
  </si>
  <si>
    <t>sec(R)=</t>
  </si>
  <si>
    <t>K~L=</t>
  </si>
  <si>
    <t>sec(K~L)=</t>
  </si>
  <si>
    <t>csc(Hc)=</t>
  </si>
  <si>
    <t>"=Step 24</t>
  </si>
  <si>
    <t>number</t>
  </si>
  <si>
    <t>radians</t>
  </si>
  <si>
    <t>log</t>
  </si>
  <si>
    <t>csc(R)=</t>
  </si>
  <si>
    <t>(is Step 22)</t>
  </si>
  <si>
    <t>combine K~L</t>
  </si>
  <si>
    <t>Step 29</t>
  </si>
  <si>
    <t>step 33</t>
  </si>
  <si>
    <t>sec(Hc)=</t>
  </si>
  <si>
    <t>csc(Z)=</t>
  </si>
  <si>
    <t>csc(180-Z)=</t>
  </si>
  <si>
    <t>so, csc(Z)=csc(180-Z)</t>
  </si>
  <si>
    <t>DANGER DOES step 35 fix AGAIN</t>
  </si>
  <si>
    <t>180-Z=</t>
  </si>
  <si>
    <t>Z to Zn</t>
  </si>
  <si>
    <t>MAYBE</t>
  </si>
  <si>
    <t>e1 was =e59</t>
  </si>
  <si>
    <t>angle from top using e48=</t>
  </si>
  <si>
    <t>Zn from Z using LHA and Lat viaHO229 rules</t>
  </si>
  <si>
    <t>def p 316</t>
  </si>
  <si>
    <r>
      <t>Z</t>
    </r>
    <r>
      <rPr>
        <sz val="10"/>
        <rFont val="Arial"/>
        <family val="0"/>
      </rPr>
      <t xml:space="preserve"> fix for Hc neg from Umland &amp; Bowditch p539</t>
    </r>
  </si>
  <si>
    <t>PROBLEM HERE IN BOOK! Use rule from Umland p3 &amp; Bowditch p539</t>
  </si>
  <si>
    <t>adj using www.anglefire C2</t>
  </si>
  <si>
    <r>
      <t>adjusted</t>
    </r>
    <r>
      <rPr>
        <sz val="10"/>
        <rFont val="Arial"/>
        <family val="0"/>
      </rPr>
      <t xml:space="preserve"> K=</t>
    </r>
  </si>
  <si>
    <r>
      <t>adjusted</t>
    </r>
    <r>
      <rPr>
        <sz val="10"/>
        <rFont val="Arial"/>
        <family val="0"/>
      </rPr>
      <t xml:space="preserve"> Z=</t>
    </r>
  </si>
  <si>
    <t>Zn=Z , if LHA&gt;180</t>
  </si>
  <si>
    <t>Zn=360-Z, if LHA&lt;180</t>
  </si>
  <si>
    <t>see Umland p3 &amp; Bowditch p503</t>
  </si>
  <si>
    <t>inverted Equations for Ageton from Web C2</t>
  </si>
  <si>
    <t>use Bwdtch p535 to chnge sign Z''</t>
  </si>
  <si>
    <t>Bwdtch p535 to adj Z</t>
  </si>
  <si>
    <t>rad2deg=</t>
  </si>
  <si>
    <t>180/pi()=</t>
  </si>
  <si>
    <t>deg2rad=</t>
  </si>
  <si>
    <t>pi()/180=</t>
  </si>
  <si>
    <t>Assumed</t>
  </si>
  <si>
    <t>LAT=</t>
  </si>
  <si>
    <t>LATpi=</t>
  </si>
  <si>
    <t>LHApi=</t>
  </si>
  <si>
    <t>Almanac</t>
  </si>
  <si>
    <t>Dec=</t>
  </si>
  <si>
    <t>DecPi=</t>
  </si>
  <si>
    <t>from table</t>
  </si>
  <si>
    <t>(Lat,LHA)=</t>
  </si>
  <si>
    <t>Sign correct</t>
  </si>
  <si>
    <t>Z1=</t>
  </si>
  <si>
    <t>B+Dec=</t>
  </si>
  <si>
    <t>F=</t>
  </si>
  <si>
    <t>(A,F)=</t>
  </si>
  <si>
    <t>H=</t>
  </si>
  <si>
    <t>P=</t>
  </si>
  <si>
    <t>Z2=</t>
  </si>
  <si>
    <t>Is F &gt;90?</t>
  </si>
  <si>
    <t>Is F &lt;0?</t>
  </si>
  <si>
    <t>Azimuth</t>
  </si>
  <si>
    <t>Z1+Z2=</t>
  </si>
  <si>
    <t>HcMeeusP93</t>
  </si>
  <si>
    <t>correct value</t>
  </si>
  <si>
    <t>if a yes</t>
  </si>
  <si>
    <t>via atan2</t>
  </si>
  <si>
    <t>NautALm Hc</t>
  </si>
  <si>
    <t>NautAlm Zn</t>
  </si>
  <si>
    <t>delta Zn 3</t>
  </si>
  <si>
    <t>delta HC 3</t>
  </si>
  <si>
    <t>enter with LHA=180-F ???</t>
  </si>
  <si>
    <t>HcMeeus p93</t>
  </si>
  <si>
    <t>Zn Meeus</t>
  </si>
  <si>
    <t>if yes, Z2 is negative</t>
  </si>
  <si>
    <t>if yes, z2=180-abs(Z2)</t>
  </si>
  <si>
    <t>is f&lt;-90</t>
  </si>
  <si>
    <t>14 Steps from 1939 Dutton</t>
  </si>
  <si>
    <t>get GHA</t>
  </si>
  <si>
    <t>Dec</t>
  </si>
  <si>
    <t>GHA&amp;DR Long &gt; LHA (East or West)   (0-180)</t>
  </si>
  <si>
    <t>get Dec and Lat</t>
  </si>
  <si>
    <t>sextant correct</t>
  </si>
  <si>
    <t>Use table A and B</t>
  </si>
  <si>
    <t>enter table with LHA</t>
  </si>
  <si>
    <t>enter table with Dec</t>
  </si>
  <si>
    <t>sum=</t>
  </si>
  <si>
    <t>enter with sum as A, read B</t>
  </si>
  <si>
    <t>enter with B from step7 as A, read angle</t>
  </si>
  <si>
    <t>give K same name as Dec</t>
  </si>
  <si>
    <t>comine with Lat</t>
  </si>
  <si>
    <t>K+Lat if dif names</t>
  </si>
  <si>
    <t>Smaller from Larger if same</t>
  </si>
  <si>
    <t>Step 10</t>
  </si>
  <si>
    <t>enter with K~L, read B</t>
  </si>
  <si>
    <t>Step 11</t>
  </si>
  <si>
    <t>R = angle cor to A</t>
  </si>
  <si>
    <t>add B of R from step 7</t>
  </si>
  <si>
    <t>B(K~L)=</t>
  </si>
  <si>
    <t>B(R)=</t>
  </si>
  <si>
    <t>enter with sum from step 10 as A, take Hc</t>
  </si>
  <si>
    <t>enter table with Dec, read A</t>
  </si>
  <si>
    <t>subtract B from A</t>
  </si>
  <si>
    <t>A-B=</t>
  </si>
  <si>
    <t>Step 12</t>
  </si>
  <si>
    <t>compare with sextant</t>
  </si>
  <si>
    <t>Step 13</t>
  </si>
  <si>
    <t>enter with Hc, read B</t>
  </si>
  <si>
    <t>subtract B from A=A-B</t>
  </si>
  <si>
    <t>diff=</t>
  </si>
  <si>
    <t>Step 14</t>
  </si>
  <si>
    <t>enter with diff from step 13 as A</t>
  </si>
  <si>
    <t>Rule 1:If LHA&gt;90, take K from btm of table</t>
  </si>
  <si>
    <t>K adjusted by Rule 1</t>
  </si>
  <si>
    <t>Rule 2:Take Z from btm exept if K same name &amp; &gt; Lat take from top</t>
  </si>
  <si>
    <t>Z adjusted by Rule 2</t>
  </si>
  <si>
    <t>lat=N  LHA=E</t>
  </si>
  <si>
    <t>lat=N  LHA=W</t>
  </si>
  <si>
    <t>lat=S  LHA=E</t>
  </si>
  <si>
    <t>lat=S  LHA=W</t>
  </si>
  <si>
    <t>Hc neg if:</t>
  </si>
  <si>
    <t>or</t>
  </si>
  <si>
    <t>adjusted by Dutton</t>
  </si>
  <si>
    <t>use A(R) from step 6</t>
  </si>
  <si>
    <t>Equ 1939 Dutton</t>
  </si>
  <si>
    <t>R=acsc(csc t * sec d)</t>
  </si>
  <si>
    <t>K=acsc(csc d /sec R)</t>
  </si>
  <si>
    <t>Z=acsc( csc R / sec Hc)</t>
  </si>
  <si>
    <t>Hc=acsc[sec R * sec (K~L)]</t>
  </si>
  <si>
    <t>K same name as Lat AND K &gt;(90+Lat)</t>
  </si>
  <si>
    <t>K dif name as Lat AND K&gt;(90-Lat)</t>
  </si>
  <si>
    <t>if K dif name as Lat AND K&gt;(90-Lat) AND K&gt;(180-Lat),</t>
  </si>
  <si>
    <t>Dutton 1939 says: NO Bowditch p 539</t>
  </si>
  <si>
    <t>"=IF(AND(G34&lt;&gt;G13,F34&gt;(90-F13),F34&gt;(180-F13)),"True","False")</t>
  </si>
  <si>
    <t>from bottom</t>
  </si>
  <si>
    <t>from top</t>
  </si>
  <si>
    <t>then take Z from top of table (NO, take Z comp of i59)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</si>
</sst>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000"/>
    <numFmt numFmtId="169" formatCode="0.0E+00"/>
    <numFmt numFmtId="170" formatCode="&quot;$&quot;#,##0"/>
    <numFmt numFmtId="171" formatCode="&quot;$&quot;#,##0.0"/>
    <numFmt numFmtId="172" formatCode="#,##0.0"/>
    <numFmt numFmtId="173" formatCode="0.E+00"/>
  </numFmts>
  <fonts count="27">
    <font>
      <sz val="10"/>
      <name val="Arial"/>
      <family val="0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.75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"/>
      <color indexed="57"/>
      <name val="Arial"/>
      <family val="0"/>
    </font>
    <font>
      <sz val="10"/>
      <color indexed="8"/>
      <name val="Tahoma"/>
      <family val="0"/>
    </font>
    <font>
      <sz val="10"/>
      <color indexed="14"/>
      <name val="Tahoma"/>
      <family val="0"/>
    </font>
    <font>
      <b/>
      <sz val="10"/>
      <name val="Tahoma"/>
      <family val="2"/>
    </font>
    <font>
      <b/>
      <sz val="10"/>
      <color indexed="5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0"/>
    </font>
    <font>
      <b/>
      <sz val="10.25"/>
      <name val="Arial"/>
      <family val="0"/>
    </font>
    <font>
      <b/>
      <sz val="10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3" xfId="0" applyBorder="1" applyAlignment="1">
      <alignment horizontal="right"/>
    </xf>
    <xf numFmtId="165" fontId="5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9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65" fontId="2" fillId="0" borderId="2" xfId="0" applyNumberFormat="1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Fill="1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165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Border="1" applyAlignment="1" quotePrefix="1">
      <alignment/>
    </xf>
    <xf numFmtId="0" fontId="0" fillId="0" borderId="7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left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1" fillId="0" borderId="3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11" fillId="0" borderId="5" xfId="0" applyFont="1" applyBorder="1" applyAlignment="1">
      <alignment/>
    </xf>
    <xf numFmtId="2" fontId="11" fillId="0" borderId="2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(deg)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Compare!$O$2:$O$100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Compare!$P$2:$P$100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2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Compare!$J$2:$J$100</c:f>
              <c:numCache/>
            </c:numRef>
          </c:xVal>
          <c:yVal>
            <c:numRef>
              <c:f>Compare!$S$2:$S$100</c:f>
              <c:numCache/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Meeus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069"/>
        <c:crosses val="autoZero"/>
        <c:crossBetween val="midCat"/>
        <c:dispUnits/>
      </c:valAx>
      <c:valAx>
        <c:axId val="25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Meeus-method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14941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Compare!$Q$2:$Q$100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Compare!$R$2:$R$100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Compare!$T$2:$T$100</c:f>
              <c:numCache/>
            </c:numRef>
          </c:yVal>
          <c:smooth val="0"/>
        </c:ser>
        <c:axId val="2313622"/>
        <c:axId val="20822599"/>
      </c:scatterChart>
      <c:valAx>
        <c:axId val="2313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22599"/>
        <c:crosses val="autoZero"/>
        <c:crossBetween val="midCat"/>
        <c:dispUnits/>
      </c:valAx>
      <c:valAx>
        <c:axId val="208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Delta 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313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Compare!$Q$2:$Q$100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Compare!$R$2:$R$100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Compare!$T$2:$T$100</c:f>
              <c:numCache/>
            </c:numRef>
          </c:yVal>
          <c:smooth val="0"/>
        </c:ser>
        <c:axId val="53185664"/>
        <c:axId val="8908929"/>
      </c:scatterChart>
      <c:valAx>
        <c:axId val="531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908929"/>
        <c:crosses val="autoZero"/>
        <c:crossBetween val="midCat"/>
        <c:dispUnits/>
      </c:valAx>
      <c:valAx>
        <c:axId val="890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Delta 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53185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5</xdr:row>
      <xdr:rowOff>76200</xdr:rowOff>
    </xdr:from>
    <xdr:to>
      <xdr:col>29</xdr:col>
      <xdr:colOff>552450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16078200" y="885825"/>
        <a:ext cx="4781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36</xdr:row>
      <xdr:rowOff>114300</xdr:rowOff>
    </xdr:from>
    <xdr:to>
      <xdr:col>29</xdr:col>
      <xdr:colOff>485775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16116300" y="5943600"/>
        <a:ext cx="4676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59</xdr:row>
      <xdr:rowOff>0</xdr:rowOff>
    </xdr:from>
    <xdr:to>
      <xdr:col>29</xdr:col>
      <xdr:colOff>447675</xdr:colOff>
      <xdr:row>78</xdr:row>
      <xdr:rowOff>152400</xdr:rowOff>
    </xdr:to>
    <xdr:graphicFrame>
      <xdr:nvGraphicFramePr>
        <xdr:cNvPr id="3" name="Chart 6"/>
        <xdr:cNvGraphicFramePr/>
      </xdr:nvGraphicFramePr>
      <xdr:xfrm>
        <a:off x="16040100" y="9553575"/>
        <a:ext cx="4714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01"/>
  <sheetViews>
    <sheetView zoomScale="75" zoomScaleNormal="75" workbookViewId="0" topLeftCell="K66">
      <selection activeCell="T2" sqref="T2"/>
    </sheetView>
  </sheetViews>
  <sheetFormatPr defaultColWidth="9.140625" defaultRowHeight="12.75"/>
  <cols>
    <col min="4" max="8" width="11.57421875" style="78" customWidth="1"/>
    <col min="9" max="13" width="11.57421875" style="6" customWidth="1"/>
    <col min="14" max="17" width="11.57421875" style="78" customWidth="1"/>
    <col min="18" max="18" width="12.140625" style="0" bestFit="1" customWidth="1"/>
    <col min="19" max="19" width="9.57421875" style="0" bestFit="1" customWidth="1"/>
    <col min="20" max="20" width="11.140625" style="0" customWidth="1"/>
  </cols>
  <sheetData>
    <row r="1" spans="1:20" ht="12.75">
      <c r="A1" t="s">
        <v>61</v>
      </c>
      <c r="B1" t="s">
        <v>67</v>
      </c>
      <c r="C1" t="s">
        <v>125</v>
      </c>
      <c r="D1" s="78" t="s">
        <v>126</v>
      </c>
      <c r="E1" s="78" t="s">
        <v>127</v>
      </c>
      <c r="F1" s="78" t="s">
        <v>128</v>
      </c>
      <c r="G1" s="78" t="s">
        <v>129</v>
      </c>
      <c r="H1" s="78" t="s">
        <v>131</v>
      </c>
      <c r="I1" s="6" t="s">
        <v>132</v>
      </c>
      <c r="J1" s="6" t="s">
        <v>216</v>
      </c>
      <c r="K1" s="6" t="s">
        <v>217</v>
      </c>
      <c r="O1" s="78" t="s">
        <v>134</v>
      </c>
      <c r="P1" s="78" t="s">
        <v>133</v>
      </c>
      <c r="Q1" s="78" t="s">
        <v>140</v>
      </c>
      <c r="R1" s="78" t="s">
        <v>141</v>
      </c>
      <c r="S1" s="78" t="s">
        <v>219</v>
      </c>
      <c r="T1" s="78" t="s">
        <v>218</v>
      </c>
    </row>
    <row r="2" spans="1:20" ht="12.75">
      <c r="A2">
        <v>-68</v>
      </c>
      <c r="B2">
        <v>-79</v>
      </c>
      <c r="C2">
        <v>73</v>
      </c>
      <c r="D2" s="78">
        <v>68.5986330399942</v>
      </c>
      <c r="E2" s="78">
        <v>210.00399814302168</v>
      </c>
      <c r="F2" s="78">
        <v>68.59863303999423</v>
      </c>
      <c r="G2" s="78">
        <v>210.00399814302173</v>
      </c>
      <c r="H2" s="78">
        <v>68.59863303999424</v>
      </c>
      <c r="I2" s="6">
        <v>210.00399814302176</v>
      </c>
      <c r="J2" s="6">
        <v>68.59863303999425</v>
      </c>
      <c r="K2" s="6">
        <v>210.0039981430217</v>
      </c>
      <c r="O2" s="78">
        <f aca="true" t="shared" si="0" ref="O2:O33">H2-D2</f>
        <v>0</v>
      </c>
      <c r="P2" s="78">
        <f>H2-F2</f>
        <v>0</v>
      </c>
      <c r="Q2" s="78">
        <f>I2-E2</f>
        <v>0</v>
      </c>
      <c r="R2" s="78">
        <f>I2-G2</f>
        <v>0</v>
      </c>
      <c r="S2" s="78">
        <f>H2-J2</f>
        <v>0</v>
      </c>
      <c r="T2" s="78">
        <f>I2-K2</f>
        <v>0</v>
      </c>
    </row>
    <row r="3" spans="1:20" ht="12.75">
      <c r="A3">
        <v>-27</v>
      </c>
      <c r="B3">
        <v>-55</v>
      </c>
      <c r="C3">
        <v>102</v>
      </c>
      <c r="D3" s="78">
        <v>15.404499320699076</v>
      </c>
      <c r="E3" s="78">
        <v>215.5877563272951</v>
      </c>
      <c r="F3" s="78">
        <v>15.404499320699033</v>
      </c>
      <c r="G3" s="78">
        <v>215.58775632729504</v>
      </c>
      <c r="H3" s="78">
        <v>15.404499320699037</v>
      </c>
      <c r="I3" s="6">
        <v>215.58775632729507</v>
      </c>
      <c r="J3" s="6">
        <v>15.404499320699024</v>
      </c>
      <c r="K3" s="6">
        <v>215.5877563272951</v>
      </c>
      <c r="O3" s="78">
        <f t="shared" si="0"/>
        <v>-3.907985046680551E-14</v>
      </c>
      <c r="P3" s="78">
        <f aca="true" t="shared" si="1" ref="P3:P66">H3-F3</f>
        <v>0</v>
      </c>
      <c r="Q3" s="78">
        <f aca="true" t="shared" si="2" ref="Q3:Q66">I3-E3</f>
        <v>0</v>
      </c>
      <c r="R3" s="78">
        <f aca="true" t="shared" si="3" ref="R3:R66">I3-G3</f>
        <v>0</v>
      </c>
      <c r="S3" s="78">
        <f aca="true" t="shared" si="4" ref="S3:S66">H3-J3</f>
        <v>0</v>
      </c>
      <c r="T3" s="78">
        <f aca="true" t="shared" si="5" ref="T3:T66">I3-K3</f>
        <v>0</v>
      </c>
    </row>
    <row r="4" spans="1:20" ht="12.75">
      <c r="A4">
        <v>22</v>
      </c>
      <c r="B4">
        <v>-15</v>
      </c>
      <c r="C4">
        <v>160</v>
      </c>
      <c r="D4" s="78">
        <v>-69.80703550390363</v>
      </c>
      <c r="E4" s="78">
        <v>286.84833595229816</v>
      </c>
      <c r="F4" s="78">
        <v>-69.8070355039036</v>
      </c>
      <c r="G4" s="78">
        <v>286.84833595229827</v>
      </c>
      <c r="H4" s="78">
        <v>-69.80703550390363</v>
      </c>
      <c r="I4" s="6">
        <v>286.84833595229827</v>
      </c>
      <c r="J4" s="6">
        <v>-69.80703550390362</v>
      </c>
      <c r="K4" s="6">
        <v>286.84833595229827</v>
      </c>
      <c r="O4" s="78">
        <f t="shared" si="0"/>
        <v>0</v>
      </c>
      <c r="P4" s="78">
        <f t="shared" si="1"/>
        <v>0</v>
      </c>
      <c r="Q4" s="78">
        <f t="shared" si="2"/>
        <v>0</v>
      </c>
      <c r="R4" s="78">
        <f t="shared" si="3"/>
        <v>0</v>
      </c>
      <c r="S4" s="78">
        <f t="shared" si="4"/>
        <v>0</v>
      </c>
      <c r="T4" s="78">
        <f t="shared" si="5"/>
        <v>0</v>
      </c>
    </row>
    <row r="5" spans="1:20" ht="12.75">
      <c r="A5">
        <v>-16</v>
      </c>
      <c r="B5">
        <v>2</v>
      </c>
      <c r="C5">
        <v>65</v>
      </c>
      <c r="D5" s="78">
        <v>23.352048206436173</v>
      </c>
      <c r="E5" s="78">
        <v>279.40117508813233</v>
      </c>
      <c r="F5" s="78">
        <v>23.352048206436216</v>
      </c>
      <c r="G5" s="78">
        <v>279.4011750881323</v>
      </c>
      <c r="H5" s="78">
        <v>23.352048206436216</v>
      </c>
      <c r="I5" s="6">
        <v>279.4011750881323</v>
      </c>
      <c r="J5" s="6">
        <v>23.352048206436223</v>
      </c>
      <c r="K5" s="6">
        <v>279.4011750881323</v>
      </c>
      <c r="O5" s="78">
        <f t="shared" si="0"/>
        <v>4.263256414560601E-14</v>
      </c>
      <c r="P5" s="78">
        <f t="shared" si="1"/>
        <v>0</v>
      </c>
      <c r="Q5" s="78">
        <f t="shared" si="2"/>
        <v>0</v>
      </c>
      <c r="R5" s="78">
        <f t="shared" si="3"/>
        <v>0</v>
      </c>
      <c r="S5" s="78">
        <f t="shared" si="4"/>
        <v>0</v>
      </c>
      <c r="T5" s="78">
        <f t="shared" si="5"/>
        <v>0</v>
      </c>
    </row>
    <row r="6" spans="1:20" ht="12.75">
      <c r="A6">
        <v>-7</v>
      </c>
      <c r="B6">
        <v>46</v>
      </c>
      <c r="C6">
        <v>349</v>
      </c>
      <c r="D6" s="78">
        <v>36.09652308703464</v>
      </c>
      <c r="E6" s="78">
        <v>9.441365740691765</v>
      </c>
      <c r="F6" s="78">
        <v>36.09652308703462</v>
      </c>
      <c r="G6" s="78">
        <v>9.441365740691765</v>
      </c>
      <c r="H6" s="78">
        <v>36.09652308703462</v>
      </c>
      <c r="I6" s="6">
        <v>9.441365740691737</v>
      </c>
      <c r="J6" s="6">
        <v>36.09652308703461</v>
      </c>
      <c r="K6" s="6">
        <v>9.441365740691765</v>
      </c>
      <c r="O6" s="78">
        <f t="shared" si="0"/>
        <v>0</v>
      </c>
      <c r="P6" s="78">
        <f t="shared" si="1"/>
        <v>0</v>
      </c>
      <c r="Q6" s="78">
        <f t="shared" si="2"/>
        <v>-2.842170943040401E-14</v>
      </c>
      <c r="R6" s="78">
        <f t="shared" si="3"/>
        <v>-2.842170943040401E-14</v>
      </c>
      <c r="S6" s="78">
        <f t="shared" si="4"/>
        <v>0</v>
      </c>
      <c r="T6" s="78">
        <f t="shared" si="5"/>
        <v>-2.842170943040401E-14</v>
      </c>
    </row>
    <row r="7" spans="1:20" ht="12.75">
      <c r="A7">
        <v>-35</v>
      </c>
      <c r="B7">
        <v>-4</v>
      </c>
      <c r="C7">
        <v>310</v>
      </c>
      <c r="D7" s="78">
        <v>34.42096123526556</v>
      </c>
      <c r="E7" s="78">
        <v>67.87761157833005</v>
      </c>
      <c r="F7" s="78">
        <v>34.42096123526556</v>
      </c>
      <c r="G7" s="78">
        <v>67.87761157833003</v>
      </c>
      <c r="H7" s="78">
        <v>34.420961235265544</v>
      </c>
      <c r="I7" s="6">
        <v>67.87761157833003</v>
      </c>
      <c r="J7" s="6">
        <v>34.420961235265544</v>
      </c>
      <c r="K7" s="6">
        <v>67.87761157833003</v>
      </c>
      <c r="O7" s="78">
        <f t="shared" si="0"/>
        <v>0</v>
      </c>
      <c r="P7" s="78">
        <f t="shared" si="1"/>
        <v>0</v>
      </c>
      <c r="Q7" s="78">
        <f t="shared" si="2"/>
        <v>0</v>
      </c>
      <c r="R7" s="78">
        <f t="shared" si="3"/>
        <v>0</v>
      </c>
      <c r="S7" s="78">
        <f t="shared" si="4"/>
        <v>0</v>
      </c>
      <c r="T7" s="78">
        <f t="shared" si="5"/>
        <v>0</v>
      </c>
    </row>
    <row r="8" spans="1:20" ht="12.75">
      <c r="A8">
        <v>-40</v>
      </c>
      <c r="B8">
        <v>-56</v>
      </c>
      <c r="C8">
        <v>61</v>
      </c>
      <c r="D8" s="78">
        <v>47.780107412088014</v>
      </c>
      <c r="E8" s="78">
        <v>226.70423138614973</v>
      </c>
      <c r="F8" s="78">
        <v>47.780107412088</v>
      </c>
      <c r="G8" s="78">
        <v>226.7042313861497</v>
      </c>
      <c r="H8" s="78">
        <v>47.78010741208798</v>
      </c>
      <c r="I8" s="6">
        <v>226.70423138614973</v>
      </c>
      <c r="J8" s="6">
        <v>47.78010741208799</v>
      </c>
      <c r="K8" s="6">
        <v>226.70423138614973</v>
      </c>
      <c r="O8" s="78">
        <f t="shared" si="0"/>
        <v>0</v>
      </c>
      <c r="P8" s="78">
        <f t="shared" si="1"/>
        <v>0</v>
      </c>
      <c r="Q8" s="78">
        <f t="shared" si="2"/>
        <v>0</v>
      </c>
      <c r="R8" s="78">
        <f t="shared" si="3"/>
        <v>0</v>
      </c>
      <c r="S8" s="78">
        <f t="shared" si="4"/>
        <v>0</v>
      </c>
      <c r="T8" s="78">
        <f t="shared" si="5"/>
        <v>0</v>
      </c>
    </row>
    <row r="9" spans="1:20" ht="12.75">
      <c r="A9">
        <v>-79</v>
      </c>
      <c r="B9">
        <v>86</v>
      </c>
      <c r="C9">
        <v>208</v>
      </c>
      <c r="D9" s="78">
        <v>-82.3021235947347</v>
      </c>
      <c r="E9" s="78">
        <v>14.15142207376502</v>
      </c>
      <c r="F9" s="78">
        <v>-82.30212359473461</v>
      </c>
      <c r="G9" s="78">
        <v>14.151422073765048</v>
      </c>
      <c r="H9" s="78">
        <v>-82.30212359473475</v>
      </c>
      <c r="I9" s="6">
        <v>14.151422073765076</v>
      </c>
      <c r="J9" s="6">
        <v>-82.30212359473465</v>
      </c>
      <c r="K9" s="6">
        <v>14.151422073765389</v>
      </c>
      <c r="O9" s="78">
        <f t="shared" si="0"/>
        <v>0</v>
      </c>
      <c r="P9" s="78">
        <f t="shared" si="1"/>
        <v>-1.4210854715202004E-13</v>
      </c>
      <c r="Q9" s="78">
        <f t="shared" si="2"/>
        <v>5.684341886080802E-14</v>
      </c>
      <c r="R9" s="78">
        <f t="shared" si="3"/>
        <v>2.842170943040401E-14</v>
      </c>
      <c r="S9" s="78">
        <f t="shared" si="4"/>
        <v>0</v>
      </c>
      <c r="T9" s="78">
        <f t="shared" si="5"/>
        <v>-3.126388037344441E-13</v>
      </c>
    </row>
    <row r="10" spans="1:20" ht="12.75">
      <c r="A10">
        <v>72</v>
      </c>
      <c r="B10">
        <v>-86</v>
      </c>
      <c r="C10">
        <v>195</v>
      </c>
      <c r="D10" s="78">
        <v>-75.82709007757158</v>
      </c>
      <c r="E10" s="78">
        <v>175.77137286252827</v>
      </c>
      <c r="F10" s="78">
        <v>-75.82709007757134</v>
      </c>
      <c r="G10" s="78">
        <v>175.77137286252835</v>
      </c>
      <c r="H10" s="78">
        <v>-75.82709007757143</v>
      </c>
      <c r="I10" s="6">
        <v>175.77137286252832</v>
      </c>
      <c r="J10" s="6">
        <v>-75.82709007757143</v>
      </c>
      <c r="K10" s="6">
        <v>175.77137286252872</v>
      </c>
      <c r="O10" s="78">
        <f t="shared" si="0"/>
        <v>1.5631940186722204E-13</v>
      </c>
      <c r="P10" s="78">
        <f t="shared" si="1"/>
        <v>0</v>
      </c>
      <c r="Q10" s="78">
        <f t="shared" si="2"/>
        <v>0</v>
      </c>
      <c r="R10" s="78">
        <f t="shared" si="3"/>
        <v>0</v>
      </c>
      <c r="S10" s="78">
        <f t="shared" si="4"/>
        <v>0</v>
      </c>
      <c r="T10" s="78">
        <f t="shared" si="5"/>
        <v>-3.979039320256561E-13</v>
      </c>
    </row>
    <row r="11" spans="1:20" ht="12.75">
      <c r="A11">
        <v>6</v>
      </c>
      <c r="B11">
        <v>-12</v>
      </c>
      <c r="C11">
        <v>19</v>
      </c>
      <c r="D11" s="78">
        <v>63.90390720697365</v>
      </c>
      <c r="E11" s="78">
        <v>226.38234098056643</v>
      </c>
      <c r="F11" s="78">
        <v>63.90390720697365</v>
      </c>
      <c r="G11" s="78">
        <v>226.38234098056643</v>
      </c>
      <c r="H11" s="78">
        <v>63.90390720697365</v>
      </c>
      <c r="I11" s="6">
        <v>226.38234098056643</v>
      </c>
      <c r="J11" s="6">
        <v>63.90390720697364</v>
      </c>
      <c r="K11" s="6">
        <v>226.38234098056628</v>
      </c>
      <c r="O11" s="78">
        <f t="shared" si="0"/>
        <v>0</v>
      </c>
      <c r="P11" s="78">
        <f t="shared" si="1"/>
        <v>0</v>
      </c>
      <c r="Q11" s="78">
        <f t="shared" si="2"/>
        <v>0</v>
      </c>
      <c r="R11" s="78">
        <f t="shared" si="3"/>
        <v>0</v>
      </c>
      <c r="S11" s="78">
        <f t="shared" si="4"/>
        <v>0</v>
      </c>
      <c r="T11" s="78">
        <f t="shared" si="5"/>
        <v>0</v>
      </c>
    </row>
    <row r="12" spans="1:20" ht="12.75">
      <c r="A12">
        <v>72</v>
      </c>
      <c r="B12">
        <v>-39</v>
      </c>
      <c r="C12">
        <v>82</v>
      </c>
      <c r="D12" s="78">
        <v>-34.409003567144836</v>
      </c>
      <c r="E12" s="78">
        <v>248.87553556442438</v>
      </c>
      <c r="F12" s="78">
        <v>-34.409003567144815</v>
      </c>
      <c r="G12" s="78">
        <v>248.87553556442435</v>
      </c>
      <c r="H12" s="78">
        <v>-34.409003567144815</v>
      </c>
      <c r="I12" s="6">
        <v>248.87553556442435</v>
      </c>
      <c r="J12" s="6">
        <v>-34.40900356714482</v>
      </c>
      <c r="K12" s="6">
        <v>248.87553556442435</v>
      </c>
      <c r="O12" s="78">
        <f t="shared" si="0"/>
        <v>0</v>
      </c>
      <c r="P12" s="78">
        <f t="shared" si="1"/>
        <v>0</v>
      </c>
      <c r="Q12" s="78">
        <f t="shared" si="2"/>
        <v>0</v>
      </c>
      <c r="R12" s="78">
        <f t="shared" si="3"/>
        <v>0</v>
      </c>
      <c r="S12" s="78">
        <f t="shared" si="4"/>
        <v>0</v>
      </c>
      <c r="T12" s="78">
        <f t="shared" si="5"/>
        <v>0</v>
      </c>
    </row>
    <row r="13" spans="1:20" ht="12.75">
      <c r="A13">
        <v>-58</v>
      </c>
      <c r="B13">
        <v>-29</v>
      </c>
      <c r="C13">
        <v>168</v>
      </c>
      <c r="D13" s="78">
        <v>-2.4190504948374145</v>
      </c>
      <c r="E13" s="78">
        <v>190.48661711653654</v>
      </c>
      <c r="F13" s="78">
        <v>-2.419050494837424</v>
      </c>
      <c r="G13" s="78">
        <v>190.48661711653654</v>
      </c>
      <c r="H13" s="78">
        <v>-2.419050494837422</v>
      </c>
      <c r="I13" s="6">
        <v>190.48661711653654</v>
      </c>
      <c r="J13" s="6">
        <v>-2.4190504948374305</v>
      </c>
      <c r="K13" s="6">
        <v>190.48661711653727</v>
      </c>
      <c r="O13" s="78">
        <f t="shared" si="0"/>
        <v>-7.549516567451064E-15</v>
      </c>
      <c r="P13" s="78">
        <f t="shared" si="1"/>
        <v>0</v>
      </c>
      <c r="Q13" s="78">
        <f t="shared" si="2"/>
        <v>0</v>
      </c>
      <c r="R13" s="78">
        <f t="shared" si="3"/>
        <v>0</v>
      </c>
      <c r="S13" s="78">
        <f t="shared" si="4"/>
        <v>8.43769498715119E-15</v>
      </c>
      <c r="T13" s="78">
        <f t="shared" si="5"/>
        <v>-7.389644451905042E-13</v>
      </c>
    </row>
    <row r="14" spans="1:20" ht="12.75">
      <c r="A14">
        <v>83</v>
      </c>
      <c r="B14">
        <v>22</v>
      </c>
      <c r="C14">
        <v>149</v>
      </c>
      <c r="D14" s="78">
        <v>15.959539085378749</v>
      </c>
      <c r="E14" s="78">
        <v>330.2194781848302</v>
      </c>
      <c r="F14" s="78">
        <v>15.959539085378745</v>
      </c>
      <c r="G14" s="78">
        <v>330.2194781848302</v>
      </c>
      <c r="H14" s="78">
        <v>15.959539085378749</v>
      </c>
      <c r="I14" s="6">
        <v>330.2194781848302</v>
      </c>
      <c r="J14" s="6">
        <v>15.959539085378745</v>
      </c>
      <c r="K14" s="6">
        <v>330.21947818483045</v>
      </c>
      <c r="O14" s="78">
        <f t="shared" si="0"/>
        <v>0</v>
      </c>
      <c r="P14" s="78">
        <f t="shared" si="1"/>
        <v>0</v>
      </c>
      <c r="Q14" s="78">
        <f t="shared" si="2"/>
        <v>0</v>
      </c>
      <c r="R14" s="78">
        <f t="shared" si="3"/>
        <v>0</v>
      </c>
      <c r="S14" s="78">
        <f t="shared" si="4"/>
        <v>0</v>
      </c>
      <c r="T14" s="78">
        <f t="shared" si="5"/>
        <v>0</v>
      </c>
    </row>
    <row r="15" spans="1:20" ht="12.75">
      <c r="A15">
        <v>-47</v>
      </c>
      <c r="B15">
        <v>52</v>
      </c>
      <c r="C15">
        <v>51</v>
      </c>
      <c r="D15" s="78">
        <v>-18.18435209679997</v>
      </c>
      <c r="E15" s="78">
        <v>329.76084316400477</v>
      </c>
      <c r="F15" s="78">
        <v>-18.184352096799977</v>
      </c>
      <c r="G15" s="78">
        <v>329.76084316400477</v>
      </c>
      <c r="H15" s="78">
        <v>-18.184352096799977</v>
      </c>
      <c r="I15" s="6">
        <v>329.76084316400477</v>
      </c>
      <c r="J15" s="6">
        <v>-18.184352096799966</v>
      </c>
      <c r="K15" s="6">
        <v>329.76084316400477</v>
      </c>
      <c r="O15" s="78">
        <f t="shared" si="0"/>
        <v>0</v>
      </c>
      <c r="P15" s="78">
        <f t="shared" si="1"/>
        <v>0</v>
      </c>
      <c r="Q15" s="78">
        <f t="shared" si="2"/>
        <v>0</v>
      </c>
      <c r="R15" s="78">
        <f t="shared" si="3"/>
        <v>0</v>
      </c>
      <c r="S15" s="78">
        <f t="shared" si="4"/>
        <v>0</v>
      </c>
      <c r="T15" s="78">
        <f t="shared" si="5"/>
        <v>0</v>
      </c>
    </row>
    <row r="16" spans="1:20" ht="12.75">
      <c r="A16">
        <v>-29</v>
      </c>
      <c r="B16">
        <v>83</v>
      </c>
      <c r="C16">
        <v>322</v>
      </c>
      <c r="D16" s="78">
        <v>-23.4034021505196</v>
      </c>
      <c r="E16" s="78">
        <v>4.68952290076848</v>
      </c>
      <c r="F16" s="78">
        <v>-23.403402150519668</v>
      </c>
      <c r="G16" s="78">
        <v>4.689522900768452</v>
      </c>
      <c r="H16" s="78">
        <v>-23.403402150519668</v>
      </c>
      <c r="I16" s="6">
        <v>4.68952290076848</v>
      </c>
      <c r="J16" s="6">
        <v>-23.403402150519643</v>
      </c>
      <c r="K16" s="6">
        <v>4.689522900768395</v>
      </c>
      <c r="O16" s="78">
        <f t="shared" si="0"/>
        <v>-6.750155989720952E-14</v>
      </c>
      <c r="P16" s="78">
        <f t="shared" si="1"/>
        <v>0</v>
      </c>
      <c r="Q16" s="78">
        <f t="shared" si="2"/>
        <v>0</v>
      </c>
      <c r="R16" s="78">
        <f t="shared" si="3"/>
        <v>2.842170943040401E-14</v>
      </c>
      <c r="S16" s="78">
        <f t="shared" si="4"/>
        <v>0</v>
      </c>
      <c r="T16" s="78">
        <f t="shared" si="5"/>
        <v>8.526512829121202E-14</v>
      </c>
    </row>
    <row r="17" spans="1:20" ht="12.75">
      <c r="A17">
        <v>51</v>
      </c>
      <c r="B17">
        <v>52</v>
      </c>
      <c r="C17">
        <v>46</v>
      </c>
      <c r="D17" s="78">
        <v>61.82913046956436</v>
      </c>
      <c r="E17" s="78">
        <v>290.2685035444911</v>
      </c>
      <c r="F17" s="78">
        <v>61.829130469564376</v>
      </c>
      <c r="G17" s="78">
        <v>290.26850354449107</v>
      </c>
      <c r="H17" s="78">
        <v>61.82913046956436</v>
      </c>
      <c r="I17" s="6">
        <v>290.26850354449107</v>
      </c>
      <c r="J17" s="6">
        <v>61.829130469564376</v>
      </c>
      <c r="K17" s="6">
        <v>290.26850354449107</v>
      </c>
      <c r="O17" s="78">
        <f t="shared" si="0"/>
        <v>0</v>
      </c>
      <c r="P17" s="78">
        <f t="shared" si="1"/>
        <v>0</v>
      </c>
      <c r="Q17" s="78">
        <f t="shared" si="2"/>
        <v>0</v>
      </c>
      <c r="R17" s="78">
        <f t="shared" si="3"/>
        <v>0</v>
      </c>
      <c r="S17" s="78">
        <f t="shared" si="4"/>
        <v>0</v>
      </c>
      <c r="T17" s="78">
        <f t="shared" si="5"/>
        <v>0</v>
      </c>
    </row>
    <row r="18" spans="1:20" ht="12.75">
      <c r="A18">
        <v>-75</v>
      </c>
      <c r="B18">
        <v>-14</v>
      </c>
      <c r="C18">
        <v>319</v>
      </c>
      <c r="D18" s="78">
        <v>25.03738872134425</v>
      </c>
      <c r="E18" s="78">
        <v>44.63538280847732</v>
      </c>
      <c r="F18" s="78">
        <v>25.03738872134424</v>
      </c>
      <c r="G18" s="78">
        <v>44.63538280847732</v>
      </c>
      <c r="H18" s="78">
        <v>25.037388721344247</v>
      </c>
      <c r="I18" s="6">
        <v>44.635382808477345</v>
      </c>
      <c r="J18" s="6">
        <v>25.03738872134424</v>
      </c>
      <c r="K18" s="6">
        <v>44.635382808477345</v>
      </c>
      <c r="O18" s="78">
        <f t="shared" si="0"/>
        <v>0</v>
      </c>
      <c r="P18" s="78">
        <f t="shared" si="1"/>
        <v>0</v>
      </c>
      <c r="Q18" s="78">
        <f t="shared" si="2"/>
        <v>0</v>
      </c>
      <c r="R18" s="78">
        <f t="shared" si="3"/>
        <v>0</v>
      </c>
      <c r="S18" s="78">
        <f t="shared" si="4"/>
        <v>0</v>
      </c>
      <c r="T18" s="78">
        <f t="shared" si="5"/>
        <v>0</v>
      </c>
    </row>
    <row r="19" spans="1:20" ht="12.75">
      <c r="A19">
        <v>81</v>
      </c>
      <c r="B19">
        <v>17</v>
      </c>
      <c r="C19">
        <v>19</v>
      </c>
      <c r="D19" s="78">
        <v>25.48157214191046</v>
      </c>
      <c r="E19" s="78">
        <v>200.1752161436458</v>
      </c>
      <c r="F19" s="78">
        <v>25.481572141910455</v>
      </c>
      <c r="G19" s="78">
        <v>200.17521614364583</v>
      </c>
      <c r="H19" s="78">
        <v>25.481572141910465</v>
      </c>
      <c r="I19" s="6">
        <v>200.17521614364583</v>
      </c>
      <c r="J19" s="6">
        <v>25.481572141910462</v>
      </c>
      <c r="K19" s="6">
        <v>200.1752161436458</v>
      </c>
      <c r="O19" s="78">
        <f t="shared" si="0"/>
        <v>0</v>
      </c>
      <c r="P19" s="78">
        <f t="shared" si="1"/>
        <v>0</v>
      </c>
      <c r="Q19" s="78">
        <f t="shared" si="2"/>
        <v>0</v>
      </c>
      <c r="R19" s="78">
        <f t="shared" si="3"/>
        <v>0</v>
      </c>
      <c r="S19" s="78">
        <f t="shared" si="4"/>
        <v>0</v>
      </c>
      <c r="T19" s="78">
        <f t="shared" si="5"/>
        <v>0</v>
      </c>
    </row>
    <row r="20" spans="1:20" ht="12.75">
      <c r="A20">
        <v>1</v>
      </c>
      <c r="B20">
        <v>-44</v>
      </c>
      <c r="C20">
        <v>198</v>
      </c>
      <c r="D20" s="78">
        <v>-44.119093378359004</v>
      </c>
      <c r="E20" s="78">
        <v>161.962512419012</v>
      </c>
      <c r="F20" s="78">
        <v>-44.119093378359</v>
      </c>
      <c r="G20" s="78">
        <v>161.96251241901197</v>
      </c>
      <c r="H20" s="78">
        <v>-44.11909337835901</v>
      </c>
      <c r="I20" s="6">
        <v>161.96251241901194</v>
      </c>
      <c r="J20" s="6">
        <v>-44.11909337835839</v>
      </c>
      <c r="K20" s="6">
        <v>161.96251241901038</v>
      </c>
      <c r="O20" s="78">
        <f t="shared" si="0"/>
        <v>0</v>
      </c>
      <c r="P20" s="78">
        <f t="shared" si="1"/>
        <v>0</v>
      </c>
      <c r="Q20" s="78">
        <f t="shared" si="2"/>
        <v>0</v>
      </c>
      <c r="R20" s="78">
        <f t="shared" si="3"/>
        <v>0</v>
      </c>
      <c r="S20" s="78">
        <f t="shared" si="4"/>
        <v>-6.181721801112872E-13</v>
      </c>
      <c r="T20" s="78">
        <f t="shared" si="5"/>
        <v>1.5631940186722204E-12</v>
      </c>
    </row>
    <row r="21" spans="1:20" ht="12.75">
      <c r="A21">
        <v>-32</v>
      </c>
      <c r="B21">
        <v>53</v>
      </c>
      <c r="C21">
        <v>274</v>
      </c>
      <c r="D21" s="78">
        <v>-22.80592183212833</v>
      </c>
      <c r="E21" s="78">
        <v>40.636874642912716</v>
      </c>
      <c r="F21" s="78">
        <v>-22.805921832128313</v>
      </c>
      <c r="G21" s="78">
        <v>40.636874642912716</v>
      </c>
      <c r="H21" s="78">
        <v>-22.80592183212832</v>
      </c>
      <c r="I21" s="6">
        <v>40.636874642912716</v>
      </c>
      <c r="J21" s="6">
        <v>-22.805921832128316</v>
      </c>
      <c r="K21" s="6">
        <v>40.63687464291269</v>
      </c>
      <c r="O21" s="78">
        <f t="shared" si="0"/>
        <v>0</v>
      </c>
      <c r="P21" s="78">
        <f t="shared" si="1"/>
        <v>0</v>
      </c>
      <c r="Q21" s="78">
        <f t="shared" si="2"/>
        <v>0</v>
      </c>
      <c r="R21" s="78">
        <f t="shared" si="3"/>
        <v>0</v>
      </c>
      <c r="S21" s="78">
        <f t="shared" si="4"/>
        <v>0</v>
      </c>
      <c r="T21" s="78">
        <f t="shared" si="5"/>
        <v>0</v>
      </c>
    </row>
    <row r="22" spans="1:20" ht="12.75">
      <c r="A22">
        <v>-78</v>
      </c>
      <c r="B22">
        <v>-46</v>
      </c>
      <c r="C22">
        <v>142</v>
      </c>
      <c r="D22" s="78">
        <v>36.14352643970176</v>
      </c>
      <c r="E22" s="78">
        <v>211.9784430770918</v>
      </c>
      <c r="F22" s="78">
        <v>36.14352643970178</v>
      </c>
      <c r="G22" s="78">
        <v>211.9784430770918</v>
      </c>
      <c r="H22" s="78">
        <v>36.14352643970178</v>
      </c>
      <c r="I22" s="6">
        <v>211.9784430770918</v>
      </c>
      <c r="J22" s="6">
        <v>36.14352643970178</v>
      </c>
      <c r="K22" s="6">
        <v>211.97844307709187</v>
      </c>
      <c r="O22" s="78">
        <f t="shared" si="0"/>
        <v>0</v>
      </c>
      <c r="P22" s="78">
        <f t="shared" si="1"/>
        <v>0</v>
      </c>
      <c r="Q22" s="78">
        <f t="shared" si="2"/>
        <v>0</v>
      </c>
      <c r="R22" s="78">
        <f t="shared" si="3"/>
        <v>0</v>
      </c>
      <c r="S22" s="78">
        <f t="shared" si="4"/>
        <v>0</v>
      </c>
      <c r="T22" s="78">
        <f t="shared" si="5"/>
        <v>0</v>
      </c>
    </row>
    <row r="23" spans="1:20" ht="12.75">
      <c r="A23">
        <v>-53</v>
      </c>
      <c r="B23">
        <v>-22</v>
      </c>
      <c r="C23">
        <v>240</v>
      </c>
      <c r="D23" s="78">
        <v>1.1561664215636598</v>
      </c>
      <c r="E23" s="78">
        <v>126.57012203203445</v>
      </c>
      <c r="F23" s="78">
        <v>1.1561664215636653</v>
      </c>
      <c r="G23" s="78">
        <v>126.57012203203445</v>
      </c>
      <c r="H23" s="78">
        <v>1.1561664215636451</v>
      </c>
      <c r="I23" s="6">
        <v>126.57012203203448</v>
      </c>
      <c r="J23" s="6">
        <v>1.1561664215636416</v>
      </c>
      <c r="K23" s="6">
        <v>126.57012203203439</v>
      </c>
      <c r="O23" s="78">
        <f t="shared" si="0"/>
        <v>-1.4654943925052066E-14</v>
      </c>
      <c r="P23" s="78">
        <f t="shared" si="1"/>
        <v>-2.020605904817785E-14</v>
      </c>
      <c r="Q23" s="78">
        <f t="shared" si="2"/>
        <v>0</v>
      </c>
      <c r="R23" s="78">
        <f t="shared" si="3"/>
        <v>0</v>
      </c>
      <c r="S23" s="78">
        <f t="shared" si="4"/>
        <v>3.552713678800501E-15</v>
      </c>
      <c r="T23" s="78">
        <f t="shared" si="5"/>
        <v>0</v>
      </c>
    </row>
    <row r="24" spans="1:20" ht="12.75">
      <c r="A24">
        <v>-3</v>
      </c>
      <c r="B24">
        <v>71</v>
      </c>
      <c r="C24">
        <v>15</v>
      </c>
      <c r="D24" s="78">
        <v>15.340755695850467</v>
      </c>
      <c r="E24" s="78">
        <v>354.9873025462297</v>
      </c>
      <c r="F24" s="78">
        <v>15.340755695850492</v>
      </c>
      <c r="G24" s="78">
        <v>354.9873025462297</v>
      </c>
      <c r="H24" s="78">
        <v>15.340755695850497</v>
      </c>
      <c r="I24" s="6">
        <v>354.98730254622967</v>
      </c>
      <c r="J24" s="6">
        <v>15.340755695850355</v>
      </c>
      <c r="K24" s="6">
        <v>354.98730254622956</v>
      </c>
      <c r="O24" s="78">
        <f t="shared" si="0"/>
        <v>3.019806626980426E-14</v>
      </c>
      <c r="P24" s="78">
        <f t="shared" si="1"/>
        <v>0</v>
      </c>
      <c r="Q24" s="78">
        <f t="shared" si="2"/>
        <v>0</v>
      </c>
      <c r="R24" s="78">
        <f t="shared" si="3"/>
        <v>0</v>
      </c>
      <c r="S24" s="78">
        <f t="shared" si="4"/>
        <v>1.4210854715202004E-13</v>
      </c>
      <c r="T24" s="78">
        <f t="shared" si="5"/>
        <v>0</v>
      </c>
    </row>
    <row r="25" spans="1:20" ht="12.75">
      <c r="A25">
        <v>5</v>
      </c>
      <c r="B25">
        <v>18</v>
      </c>
      <c r="C25">
        <v>135</v>
      </c>
      <c r="D25" s="78">
        <v>-40.01639963430388</v>
      </c>
      <c r="E25" s="78">
        <v>298.58654183701896</v>
      </c>
      <c r="F25" s="78">
        <v>-40.01639963430388</v>
      </c>
      <c r="G25" s="78">
        <v>298.586541837019</v>
      </c>
      <c r="H25" s="78">
        <v>-40.01639963430388</v>
      </c>
      <c r="I25" s="6">
        <v>298.586541837019</v>
      </c>
      <c r="J25" s="6">
        <v>-40.016399634303866</v>
      </c>
      <c r="K25" s="6">
        <v>298.58654183701907</v>
      </c>
      <c r="O25" s="78">
        <f t="shared" si="0"/>
        <v>0</v>
      </c>
      <c r="P25" s="78">
        <f t="shared" si="1"/>
        <v>0</v>
      </c>
      <c r="Q25" s="78">
        <f t="shared" si="2"/>
        <v>0</v>
      </c>
      <c r="R25" s="78">
        <f t="shared" si="3"/>
        <v>0</v>
      </c>
      <c r="S25" s="78">
        <f t="shared" si="4"/>
        <v>0</v>
      </c>
      <c r="T25" s="78">
        <f t="shared" si="5"/>
        <v>0</v>
      </c>
    </row>
    <row r="26" spans="1:20" ht="12.75">
      <c r="A26">
        <v>-27</v>
      </c>
      <c r="B26">
        <v>-83</v>
      </c>
      <c r="C26">
        <v>216</v>
      </c>
      <c r="D26" s="78">
        <v>21.269689398357862</v>
      </c>
      <c r="E26" s="78">
        <v>175.59137759435708</v>
      </c>
      <c r="F26" s="78">
        <v>21.2696893983579</v>
      </c>
      <c r="G26" s="78">
        <v>175.59137759435708</v>
      </c>
      <c r="H26" s="78">
        <v>21.2696893983579</v>
      </c>
      <c r="I26" s="6">
        <v>175.59137759435708</v>
      </c>
      <c r="J26" s="6">
        <v>21.269689398357905</v>
      </c>
      <c r="K26" s="6">
        <v>175.59137759435703</v>
      </c>
      <c r="O26" s="78">
        <f t="shared" si="0"/>
        <v>3.907985046680551E-14</v>
      </c>
      <c r="P26" s="78">
        <f t="shared" si="1"/>
        <v>0</v>
      </c>
      <c r="Q26" s="78">
        <f t="shared" si="2"/>
        <v>0</v>
      </c>
      <c r="R26" s="78">
        <f t="shared" si="3"/>
        <v>0</v>
      </c>
      <c r="S26" s="78">
        <f t="shared" si="4"/>
        <v>0</v>
      </c>
      <c r="T26" s="78">
        <f t="shared" si="5"/>
        <v>0</v>
      </c>
    </row>
    <row r="27" spans="1:20" ht="12.75">
      <c r="A27">
        <v>-74</v>
      </c>
      <c r="B27">
        <v>44</v>
      </c>
      <c r="C27">
        <v>5</v>
      </c>
      <c r="D27" s="78">
        <v>-28.048971988544146</v>
      </c>
      <c r="E27" s="78">
        <v>355.9263723458457</v>
      </c>
      <c r="F27" s="78">
        <v>-28.048971988544146</v>
      </c>
      <c r="G27" s="78">
        <v>355.9263723458457</v>
      </c>
      <c r="H27" s="78">
        <v>-28.048971988544146</v>
      </c>
      <c r="I27" s="6">
        <v>355.9263723458457</v>
      </c>
      <c r="J27" s="6">
        <v>-28.04897198854415</v>
      </c>
      <c r="K27" s="6">
        <v>355.9263723458458</v>
      </c>
      <c r="O27" s="78">
        <f t="shared" si="0"/>
        <v>0</v>
      </c>
      <c r="P27" s="78">
        <f t="shared" si="1"/>
        <v>0</v>
      </c>
      <c r="Q27" s="78">
        <f t="shared" si="2"/>
        <v>0</v>
      </c>
      <c r="R27" s="78">
        <f t="shared" si="3"/>
        <v>0</v>
      </c>
      <c r="S27" s="78">
        <f t="shared" si="4"/>
        <v>0</v>
      </c>
      <c r="T27" s="78">
        <f t="shared" si="5"/>
        <v>0</v>
      </c>
    </row>
    <row r="28" spans="1:20" ht="12.75">
      <c r="A28">
        <v>41</v>
      </c>
      <c r="B28">
        <v>74</v>
      </c>
      <c r="C28">
        <v>71</v>
      </c>
      <c r="D28" s="78">
        <v>44.296463227554455</v>
      </c>
      <c r="E28" s="78">
        <v>338.6460048957246</v>
      </c>
      <c r="F28" s="78">
        <v>44.296463227554575</v>
      </c>
      <c r="G28" s="78">
        <v>338.64600489572456</v>
      </c>
      <c r="H28" s="78">
        <v>44.296463227554554</v>
      </c>
      <c r="I28" s="6">
        <v>338.64600489572456</v>
      </c>
      <c r="J28" s="6">
        <v>44.29646322755456</v>
      </c>
      <c r="K28" s="6">
        <v>338.64600489572456</v>
      </c>
      <c r="O28" s="78">
        <f t="shared" si="0"/>
        <v>9.947598300641403E-14</v>
      </c>
      <c r="P28" s="78">
        <f t="shared" si="1"/>
        <v>0</v>
      </c>
      <c r="Q28" s="78">
        <f t="shared" si="2"/>
        <v>0</v>
      </c>
      <c r="R28" s="78">
        <f t="shared" si="3"/>
        <v>0</v>
      </c>
      <c r="S28" s="78">
        <f t="shared" si="4"/>
        <v>0</v>
      </c>
      <c r="T28" s="78">
        <f t="shared" si="5"/>
        <v>0</v>
      </c>
    </row>
    <row r="29" spans="1:20" ht="12.75">
      <c r="A29">
        <v>-14</v>
      </c>
      <c r="B29">
        <v>81</v>
      </c>
      <c r="C29">
        <v>36</v>
      </c>
      <c r="D29" s="78">
        <v>-6.669648942249583</v>
      </c>
      <c r="E29" s="78">
        <v>354.6881570909905</v>
      </c>
      <c r="F29" s="78">
        <v>-6.669648942249588</v>
      </c>
      <c r="G29" s="78">
        <v>354.6881570909905</v>
      </c>
      <c r="H29" s="78">
        <v>-6.669648942249588</v>
      </c>
      <c r="I29" s="6">
        <v>354.6881570909905</v>
      </c>
      <c r="J29" s="6">
        <v>-6.6696489422495775</v>
      </c>
      <c r="K29" s="6">
        <v>354.6881570909906</v>
      </c>
      <c r="O29" s="78">
        <f t="shared" si="0"/>
        <v>0</v>
      </c>
      <c r="P29" s="78">
        <f t="shared" si="1"/>
        <v>0</v>
      </c>
      <c r="Q29" s="78">
        <f t="shared" si="2"/>
        <v>0</v>
      </c>
      <c r="R29" s="78">
        <f t="shared" si="3"/>
        <v>0</v>
      </c>
      <c r="S29" s="78">
        <f t="shared" si="4"/>
        <v>-1.0658141036401503E-14</v>
      </c>
      <c r="T29" s="78">
        <f t="shared" si="5"/>
        <v>0</v>
      </c>
    </row>
    <row r="30" spans="1:20" ht="12.75">
      <c r="A30">
        <v>8</v>
      </c>
      <c r="B30">
        <v>19</v>
      </c>
      <c r="C30">
        <v>328</v>
      </c>
      <c r="D30" s="78">
        <v>57.07176133911002</v>
      </c>
      <c r="E30" s="78">
        <v>67.18221240133674</v>
      </c>
      <c r="F30" s="78">
        <v>57.07176133911001</v>
      </c>
      <c r="G30" s="78">
        <v>67.1822124013367</v>
      </c>
      <c r="H30" s="78">
        <v>57.07176133910996</v>
      </c>
      <c r="I30" s="6">
        <v>67.18221240133673</v>
      </c>
      <c r="J30" s="6">
        <v>57.07176133910989</v>
      </c>
      <c r="K30" s="6">
        <v>67.1822124013367</v>
      </c>
      <c r="O30" s="78">
        <f t="shared" si="0"/>
        <v>-5.684341886080802E-14</v>
      </c>
      <c r="P30" s="78">
        <f t="shared" si="1"/>
        <v>0</v>
      </c>
      <c r="Q30" s="78">
        <f t="shared" si="2"/>
        <v>0</v>
      </c>
      <c r="R30" s="78">
        <f t="shared" si="3"/>
        <v>0</v>
      </c>
      <c r="S30" s="78">
        <f t="shared" si="4"/>
        <v>7.105427357601002E-14</v>
      </c>
      <c r="T30" s="78">
        <f t="shared" si="5"/>
        <v>0</v>
      </c>
    </row>
    <row r="31" spans="1:20" ht="12.75">
      <c r="A31">
        <v>-16</v>
      </c>
      <c r="B31">
        <v>8</v>
      </c>
      <c r="C31">
        <v>161</v>
      </c>
      <c r="D31" s="78">
        <v>-69.78570316705378</v>
      </c>
      <c r="E31" s="78">
        <v>248.91571428833686</v>
      </c>
      <c r="F31" s="78">
        <v>-69.7857031670537</v>
      </c>
      <c r="G31" s="78">
        <v>248.9157142883367</v>
      </c>
      <c r="H31" s="78">
        <v>-69.78570316705377</v>
      </c>
      <c r="I31" s="6">
        <v>248.9157142883367</v>
      </c>
      <c r="J31" s="6">
        <v>-69.78570316705377</v>
      </c>
      <c r="K31" s="6">
        <v>248.91571428833672</v>
      </c>
      <c r="O31" s="78">
        <f t="shared" si="0"/>
        <v>0</v>
      </c>
      <c r="P31" s="78">
        <f t="shared" si="1"/>
        <v>0</v>
      </c>
      <c r="Q31" s="78">
        <f t="shared" si="2"/>
        <v>0</v>
      </c>
      <c r="R31" s="78">
        <f t="shared" si="3"/>
        <v>0</v>
      </c>
      <c r="S31" s="78">
        <f t="shared" si="4"/>
        <v>0</v>
      </c>
      <c r="T31" s="78">
        <f t="shared" si="5"/>
        <v>0</v>
      </c>
    </row>
    <row r="32" spans="1:20" ht="12.75">
      <c r="A32">
        <v>-14</v>
      </c>
      <c r="B32">
        <v>33</v>
      </c>
      <c r="C32">
        <v>128</v>
      </c>
      <c r="D32" s="78">
        <v>-39.254033800105006</v>
      </c>
      <c r="E32" s="78">
        <v>301.40908932355524</v>
      </c>
      <c r="F32" s="78">
        <v>-39.254033800104985</v>
      </c>
      <c r="G32" s="78">
        <v>301.4090893235553</v>
      </c>
      <c r="H32" s="78">
        <v>-39.25403380010499</v>
      </c>
      <c r="I32" s="6">
        <v>301.4090893235553</v>
      </c>
      <c r="J32" s="6">
        <v>-39.254033800104985</v>
      </c>
      <c r="K32" s="6">
        <v>301.4090893235553</v>
      </c>
      <c r="O32" s="78">
        <f t="shared" si="0"/>
        <v>0</v>
      </c>
      <c r="P32" s="78">
        <f t="shared" si="1"/>
        <v>0</v>
      </c>
      <c r="Q32" s="78">
        <f t="shared" si="2"/>
        <v>0</v>
      </c>
      <c r="R32" s="78">
        <f t="shared" si="3"/>
        <v>0</v>
      </c>
      <c r="S32" s="78">
        <f t="shared" si="4"/>
        <v>0</v>
      </c>
      <c r="T32" s="78">
        <f t="shared" si="5"/>
        <v>0</v>
      </c>
    </row>
    <row r="33" spans="1:20" ht="12.75">
      <c r="A33">
        <v>-56</v>
      </c>
      <c r="B33">
        <v>59</v>
      </c>
      <c r="C33">
        <v>206</v>
      </c>
      <c r="D33" s="78">
        <v>-75.80848091348835</v>
      </c>
      <c r="E33" s="78">
        <v>67.06185520506615</v>
      </c>
      <c r="F33" s="78">
        <v>-75.80848091348831</v>
      </c>
      <c r="G33" s="78">
        <v>67.06185520506601</v>
      </c>
      <c r="H33" s="78">
        <v>-75.80848091348835</v>
      </c>
      <c r="I33" s="6">
        <v>67.0618552050661</v>
      </c>
      <c r="J33" s="6">
        <v>-75.80848091348831</v>
      </c>
      <c r="K33" s="6">
        <v>67.06185520506608</v>
      </c>
      <c r="O33" s="78">
        <f t="shared" si="0"/>
        <v>0</v>
      </c>
      <c r="P33" s="78">
        <f t="shared" si="1"/>
        <v>0</v>
      </c>
      <c r="Q33" s="78">
        <f t="shared" si="2"/>
        <v>0</v>
      </c>
      <c r="R33" s="78">
        <f t="shared" si="3"/>
        <v>0</v>
      </c>
      <c r="S33" s="78">
        <f t="shared" si="4"/>
        <v>0</v>
      </c>
      <c r="T33" s="78">
        <f t="shared" si="5"/>
        <v>0</v>
      </c>
    </row>
    <row r="34" spans="1:20" ht="12.75">
      <c r="A34">
        <v>-63</v>
      </c>
      <c r="B34">
        <v>35</v>
      </c>
      <c r="C34">
        <v>49</v>
      </c>
      <c r="D34" s="78">
        <v>-15.490604939732412</v>
      </c>
      <c r="E34" s="78">
        <v>320.0943115446528</v>
      </c>
      <c r="F34" s="78">
        <v>-15.490604939732425</v>
      </c>
      <c r="G34" s="78">
        <v>320.0943115446528</v>
      </c>
      <c r="H34" s="78">
        <v>-15.490604939732423</v>
      </c>
      <c r="I34" s="6">
        <v>320.0943115446528</v>
      </c>
      <c r="J34" s="6">
        <v>-15.49060493973243</v>
      </c>
      <c r="K34" s="6">
        <v>320.0943115446528</v>
      </c>
      <c r="O34" s="78">
        <f aca="true" t="shared" si="6" ref="O34:O65">H34-D34</f>
        <v>0</v>
      </c>
      <c r="P34" s="78">
        <f t="shared" si="1"/>
        <v>0</v>
      </c>
      <c r="Q34" s="78">
        <f t="shared" si="2"/>
        <v>0</v>
      </c>
      <c r="R34" s="78">
        <f t="shared" si="3"/>
        <v>0</v>
      </c>
      <c r="S34" s="78">
        <f t="shared" si="4"/>
        <v>0</v>
      </c>
      <c r="T34" s="78">
        <f t="shared" si="5"/>
        <v>0</v>
      </c>
    </row>
    <row r="35" spans="1:20" ht="12.75">
      <c r="A35">
        <v>-14</v>
      </c>
      <c r="B35">
        <v>-19</v>
      </c>
      <c r="C35">
        <v>89</v>
      </c>
      <c r="D35" s="78">
        <v>5.438281903070612</v>
      </c>
      <c r="E35" s="78">
        <v>251.7408436404704</v>
      </c>
      <c r="F35" s="78">
        <v>5.438281903070613</v>
      </c>
      <c r="G35" s="78">
        <v>251.74084364047044</v>
      </c>
      <c r="H35" s="78">
        <v>5.4382819030706155</v>
      </c>
      <c r="I35" s="6">
        <v>251.74084364047042</v>
      </c>
      <c r="J35" s="6">
        <v>5.438281903070625</v>
      </c>
      <c r="K35" s="6">
        <v>251.7408436404704</v>
      </c>
      <c r="O35" s="78">
        <f t="shared" si="6"/>
        <v>0</v>
      </c>
      <c r="P35" s="78">
        <f t="shared" si="1"/>
        <v>0</v>
      </c>
      <c r="Q35" s="78">
        <f t="shared" si="2"/>
        <v>0</v>
      </c>
      <c r="R35" s="78">
        <f t="shared" si="3"/>
        <v>0</v>
      </c>
      <c r="S35" s="78">
        <f t="shared" si="4"/>
        <v>-9.769962616701378E-15</v>
      </c>
      <c r="T35" s="78">
        <f t="shared" si="5"/>
        <v>0</v>
      </c>
    </row>
    <row r="36" spans="1:20" ht="12.75">
      <c r="A36">
        <v>86</v>
      </c>
      <c r="B36">
        <v>-3</v>
      </c>
      <c r="C36">
        <v>36</v>
      </c>
      <c r="D36" s="78">
        <v>0.2376843832675314</v>
      </c>
      <c r="E36" s="78">
        <v>215.94332857088662</v>
      </c>
      <c r="F36" s="78">
        <v>0.23768438326754474</v>
      </c>
      <c r="G36" s="78">
        <v>215.94332857088662</v>
      </c>
      <c r="H36" s="78">
        <v>0.23768438326754465</v>
      </c>
      <c r="I36" s="6">
        <v>215.94332857088662</v>
      </c>
      <c r="J36" s="6">
        <v>0.23768438326754537</v>
      </c>
      <c r="K36" s="6">
        <v>215.9433285708653</v>
      </c>
      <c r="O36" s="78">
        <f t="shared" si="6"/>
        <v>1.3239409568654992E-14</v>
      </c>
      <c r="P36" s="78">
        <f t="shared" si="1"/>
        <v>0</v>
      </c>
      <c r="Q36" s="78">
        <f t="shared" si="2"/>
        <v>0</v>
      </c>
      <c r="R36" s="78">
        <f t="shared" si="3"/>
        <v>0</v>
      </c>
      <c r="S36" s="78">
        <f t="shared" si="4"/>
        <v>-7.216449660063518E-16</v>
      </c>
      <c r="T36" s="78">
        <f t="shared" si="5"/>
        <v>2.1316282072803006E-11</v>
      </c>
    </row>
    <row r="37" spans="1:20" ht="12.75">
      <c r="A37">
        <v>80</v>
      </c>
      <c r="B37">
        <v>45</v>
      </c>
      <c r="C37">
        <v>25</v>
      </c>
      <c r="D37" s="78">
        <v>53.86674601056673</v>
      </c>
      <c r="E37" s="78">
        <v>210.45022712254047</v>
      </c>
      <c r="F37" s="78">
        <v>53.86674601056673</v>
      </c>
      <c r="G37" s="78">
        <v>210.45022712254047</v>
      </c>
      <c r="H37" s="78">
        <v>53.86674601056673</v>
      </c>
      <c r="I37" s="6">
        <v>210.45022712254047</v>
      </c>
      <c r="J37" s="6">
        <v>53.86674601056673</v>
      </c>
      <c r="K37" s="6">
        <v>210.45022712254058</v>
      </c>
      <c r="O37" s="78">
        <f t="shared" si="6"/>
        <v>0</v>
      </c>
      <c r="P37" s="78">
        <f t="shared" si="1"/>
        <v>0</v>
      </c>
      <c r="Q37" s="78">
        <f t="shared" si="2"/>
        <v>0</v>
      </c>
      <c r="R37" s="78">
        <f t="shared" si="3"/>
        <v>0</v>
      </c>
      <c r="S37" s="78">
        <f t="shared" si="4"/>
        <v>0</v>
      </c>
      <c r="T37" s="78">
        <f t="shared" si="5"/>
        <v>0</v>
      </c>
    </row>
    <row r="38" spans="1:20" ht="12.75">
      <c r="A38">
        <v>-65</v>
      </c>
      <c r="B38">
        <v>6</v>
      </c>
      <c r="C38">
        <v>205</v>
      </c>
      <c r="D38" s="78">
        <v>-28.402262607623843</v>
      </c>
      <c r="E38" s="78">
        <v>151.45699869058947</v>
      </c>
      <c r="F38" s="78">
        <v>-28.402262607623843</v>
      </c>
      <c r="G38" s="78">
        <v>151.45699869058944</v>
      </c>
      <c r="H38" s="78">
        <v>-28.40226260762385</v>
      </c>
      <c r="I38" s="6">
        <v>151.45699869058947</v>
      </c>
      <c r="J38" s="6">
        <v>-28.40226260762385</v>
      </c>
      <c r="K38" s="6">
        <v>151.4569986905895</v>
      </c>
      <c r="O38" s="78">
        <f t="shared" si="6"/>
        <v>0</v>
      </c>
      <c r="P38" s="78">
        <f t="shared" si="1"/>
        <v>0</v>
      </c>
      <c r="Q38" s="78">
        <f t="shared" si="2"/>
        <v>0</v>
      </c>
      <c r="R38" s="78">
        <f t="shared" si="3"/>
        <v>0</v>
      </c>
      <c r="S38" s="78">
        <f t="shared" si="4"/>
        <v>0</v>
      </c>
      <c r="T38" s="78">
        <f t="shared" si="5"/>
        <v>0</v>
      </c>
    </row>
    <row r="39" spans="1:20" ht="12.75">
      <c r="A39">
        <v>10</v>
      </c>
      <c r="B39">
        <v>85</v>
      </c>
      <c r="C39">
        <v>128</v>
      </c>
      <c r="D39" s="78">
        <v>6.900422124373059</v>
      </c>
      <c r="E39" s="78">
        <v>356.03306490502064</v>
      </c>
      <c r="F39" s="78">
        <v>6.900422124373074</v>
      </c>
      <c r="G39" s="78">
        <v>356.03306490502064</v>
      </c>
      <c r="H39" s="78">
        <v>6.900422124373076</v>
      </c>
      <c r="I39" s="6">
        <v>356.03306490502064</v>
      </c>
      <c r="J39" s="6">
        <v>6.900422124373065</v>
      </c>
      <c r="K39" s="6">
        <v>356.03306490502064</v>
      </c>
      <c r="O39" s="78">
        <f t="shared" si="6"/>
        <v>1.687538997430238E-14</v>
      </c>
      <c r="P39" s="78">
        <f t="shared" si="1"/>
        <v>0</v>
      </c>
      <c r="Q39" s="78">
        <f t="shared" si="2"/>
        <v>0</v>
      </c>
      <c r="R39" s="78">
        <f t="shared" si="3"/>
        <v>0</v>
      </c>
      <c r="S39" s="78">
        <f t="shared" si="4"/>
        <v>1.1546319456101628E-14</v>
      </c>
      <c r="T39" s="78">
        <f t="shared" si="5"/>
        <v>0</v>
      </c>
    </row>
    <row r="40" spans="1:20" ht="12.75">
      <c r="A40">
        <v>-14</v>
      </c>
      <c r="B40">
        <v>-58</v>
      </c>
      <c r="C40">
        <v>90</v>
      </c>
      <c r="D40" s="78">
        <v>11.838948601516353</v>
      </c>
      <c r="E40" s="78">
        <v>212.78148963596766</v>
      </c>
      <c r="F40" s="78">
        <v>11.838947586389615</v>
      </c>
      <c r="G40" s="78">
        <v>212.7814894989303</v>
      </c>
      <c r="H40" s="78">
        <v>11.838947586389626</v>
      </c>
      <c r="I40" s="6">
        <v>212.78148949893028</v>
      </c>
      <c r="J40" s="6">
        <v>11.83894758638962</v>
      </c>
      <c r="K40" s="6">
        <v>212.78148949893028</v>
      </c>
      <c r="O40" s="78">
        <f t="shared" si="6"/>
        <v>-1.0151267275659848E-06</v>
      </c>
      <c r="P40" s="78">
        <f t="shared" si="1"/>
        <v>0</v>
      </c>
      <c r="Q40" s="78">
        <f t="shared" si="2"/>
        <v>-1.3703737522519077E-07</v>
      </c>
      <c r="R40" s="78">
        <f t="shared" si="3"/>
        <v>0</v>
      </c>
      <c r="S40" s="78">
        <f t="shared" si="4"/>
        <v>0</v>
      </c>
      <c r="T40" s="78">
        <f t="shared" si="5"/>
        <v>0</v>
      </c>
    </row>
    <row r="41" spans="1:20" ht="12.75">
      <c r="A41">
        <v>55</v>
      </c>
      <c r="B41">
        <v>-81</v>
      </c>
      <c r="C41">
        <v>110</v>
      </c>
      <c r="D41" s="78">
        <v>-57.11430018863586</v>
      </c>
      <c r="E41" s="78">
        <v>195.70808686566124</v>
      </c>
      <c r="F41" s="78">
        <v>-57.114300188635795</v>
      </c>
      <c r="G41" s="78">
        <v>195.70808686566127</v>
      </c>
      <c r="H41" s="78">
        <v>-57.114300188635816</v>
      </c>
      <c r="I41" s="6">
        <v>195.70808686566124</v>
      </c>
      <c r="J41" s="6">
        <v>-57.114300188635816</v>
      </c>
      <c r="K41" s="6">
        <v>195.70808686566127</v>
      </c>
      <c r="O41" s="78">
        <f t="shared" si="6"/>
        <v>0</v>
      </c>
      <c r="P41" s="78">
        <f t="shared" si="1"/>
        <v>0</v>
      </c>
      <c r="Q41" s="78">
        <f t="shared" si="2"/>
        <v>0</v>
      </c>
      <c r="R41" s="78">
        <f t="shared" si="3"/>
        <v>0</v>
      </c>
      <c r="S41" s="78">
        <f t="shared" si="4"/>
        <v>0</v>
      </c>
      <c r="T41" s="78">
        <f t="shared" si="5"/>
        <v>0</v>
      </c>
    </row>
    <row r="42" spans="1:20" ht="12.75">
      <c r="A42">
        <v>-41</v>
      </c>
      <c r="B42">
        <v>-5</v>
      </c>
      <c r="C42">
        <v>26</v>
      </c>
      <c r="D42" s="78">
        <v>47.13230099655915</v>
      </c>
      <c r="E42" s="78">
        <v>320.06487907173687</v>
      </c>
      <c r="F42" s="78">
        <v>47.132300996559174</v>
      </c>
      <c r="G42" s="78">
        <v>320.06487907173687</v>
      </c>
      <c r="H42" s="78">
        <v>47.13230099655918</v>
      </c>
      <c r="I42" s="6">
        <v>320.06487907173687</v>
      </c>
      <c r="J42" s="6">
        <v>47.132300996559174</v>
      </c>
      <c r="K42" s="6">
        <v>320.06487907173687</v>
      </c>
      <c r="O42" s="78">
        <f t="shared" si="6"/>
        <v>0</v>
      </c>
      <c r="P42" s="78">
        <f t="shared" si="1"/>
        <v>0</v>
      </c>
      <c r="Q42" s="78">
        <f t="shared" si="2"/>
        <v>0</v>
      </c>
      <c r="R42" s="78">
        <f t="shared" si="3"/>
        <v>0</v>
      </c>
      <c r="S42" s="78">
        <f t="shared" si="4"/>
        <v>0</v>
      </c>
      <c r="T42" s="78">
        <f t="shared" si="5"/>
        <v>0</v>
      </c>
    </row>
    <row r="43" spans="1:20" ht="12.75">
      <c r="A43">
        <v>-83</v>
      </c>
      <c r="B43">
        <v>-33</v>
      </c>
      <c r="C43">
        <v>35</v>
      </c>
      <c r="D43" s="78">
        <v>38.631081510586554</v>
      </c>
      <c r="E43" s="78">
        <v>321.99087209238616</v>
      </c>
      <c r="F43" s="78">
        <v>38.63108151058657</v>
      </c>
      <c r="G43" s="78">
        <v>321.99087209238616</v>
      </c>
      <c r="H43" s="78">
        <v>38.631081510586554</v>
      </c>
      <c r="I43" s="6">
        <v>321.99087209238616</v>
      </c>
      <c r="J43" s="6">
        <v>38.63108151058657</v>
      </c>
      <c r="K43" s="6">
        <v>321.9908720923863</v>
      </c>
      <c r="O43" s="78">
        <f t="shared" si="6"/>
        <v>0</v>
      </c>
      <c r="P43" s="78">
        <f t="shared" si="1"/>
        <v>0</v>
      </c>
      <c r="Q43" s="78">
        <f t="shared" si="2"/>
        <v>0</v>
      </c>
      <c r="R43" s="78">
        <f t="shared" si="3"/>
        <v>0</v>
      </c>
      <c r="S43" s="78">
        <f t="shared" si="4"/>
        <v>0</v>
      </c>
      <c r="T43" s="78">
        <f t="shared" si="5"/>
        <v>0</v>
      </c>
    </row>
    <row r="44" spans="1:20" ht="12.75">
      <c r="A44">
        <v>-55</v>
      </c>
      <c r="B44">
        <v>4</v>
      </c>
      <c r="C44">
        <v>272</v>
      </c>
      <c r="D44" s="78">
        <v>-2.1303119064258365</v>
      </c>
      <c r="E44" s="78">
        <v>86.06777440557994</v>
      </c>
      <c r="F44" s="78">
        <v>-2.1303119064257894</v>
      </c>
      <c r="G44" s="78">
        <v>86.06777440558002</v>
      </c>
      <c r="H44" s="78">
        <v>-2.1303119064257836</v>
      </c>
      <c r="I44" s="6">
        <v>86.06777440558001</v>
      </c>
      <c r="J44" s="6">
        <v>-2.130311906425783</v>
      </c>
      <c r="K44" s="6">
        <v>86.06777440558002</v>
      </c>
      <c r="O44" s="78">
        <f t="shared" si="6"/>
        <v>5.284661597215745E-14</v>
      </c>
      <c r="P44" s="78">
        <f t="shared" si="1"/>
        <v>5.773159728050814E-15</v>
      </c>
      <c r="Q44" s="78">
        <f t="shared" si="2"/>
        <v>0</v>
      </c>
      <c r="R44" s="78">
        <f t="shared" si="3"/>
        <v>0</v>
      </c>
      <c r="S44" s="78">
        <f t="shared" si="4"/>
        <v>0</v>
      </c>
      <c r="T44" s="78">
        <f t="shared" si="5"/>
        <v>0</v>
      </c>
    </row>
    <row r="45" spans="1:20" ht="12.75">
      <c r="A45">
        <v>-86</v>
      </c>
      <c r="B45">
        <v>68</v>
      </c>
      <c r="C45">
        <v>321</v>
      </c>
      <c r="D45" s="78">
        <v>-64.77181558475972</v>
      </c>
      <c r="E45" s="78">
        <v>33.58041304786434</v>
      </c>
      <c r="F45" s="78">
        <v>-64.77181558475972</v>
      </c>
      <c r="G45" s="78">
        <v>33.58041304786434</v>
      </c>
      <c r="H45" s="78">
        <v>-64.77181558475968</v>
      </c>
      <c r="I45" s="6">
        <v>33.58041304786437</v>
      </c>
      <c r="J45" s="6">
        <v>-64.77181558475971</v>
      </c>
      <c r="K45" s="6">
        <v>33.5804130478644</v>
      </c>
      <c r="O45" s="78">
        <f t="shared" si="6"/>
        <v>0</v>
      </c>
      <c r="P45" s="78">
        <f t="shared" si="1"/>
        <v>0</v>
      </c>
      <c r="Q45" s="78">
        <f t="shared" si="2"/>
        <v>0</v>
      </c>
      <c r="R45" s="78">
        <f t="shared" si="3"/>
        <v>0</v>
      </c>
      <c r="S45" s="78">
        <f t="shared" si="4"/>
        <v>0</v>
      </c>
      <c r="T45" s="78">
        <f t="shared" si="5"/>
        <v>0</v>
      </c>
    </row>
    <row r="46" spans="1:20" ht="12.75">
      <c r="A46">
        <v>8</v>
      </c>
      <c r="B46">
        <v>-70</v>
      </c>
      <c r="C46">
        <v>139</v>
      </c>
      <c r="D46" s="78">
        <v>-22.730293348223537</v>
      </c>
      <c r="E46" s="78">
        <v>194.08021021095652</v>
      </c>
      <c r="F46" s="78">
        <v>-22.730293348223505</v>
      </c>
      <c r="G46" s="78">
        <v>194.08021021095652</v>
      </c>
      <c r="H46" s="78">
        <v>-22.730293348223512</v>
      </c>
      <c r="I46" s="6">
        <v>194.08021021095652</v>
      </c>
      <c r="J46" s="6">
        <v>-22.730293348223505</v>
      </c>
      <c r="K46" s="6">
        <v>194.0802102109564</v>
      </c>
      <c r="O46" s="78">
        <f t="shared" si="6"/>
        <v>0</v>
      </c>
      <c r="P46" s="78">
        <f t="shared" si="1"/>
        <v>0</v>
      </c>
      <c r="Q46" s="78">
        <f t="shared" si="2"/>
        <v>0</v>
      </c>
      <c r="R46" s="78">
        <f t="shared" si="3"/>
        <v>0</v>
      </c>
      <c r="S46" s="78">
        <f t="shared" si="4"/>
        <v>0</v>
      </c>
      <c r="T46" s="78">
        <f t="shared" si="5"/>
        <v>0</v>
      </c>
    </row>
    <row r="47" spans="1:20" ht="12.75">
      <c r="A47">
        <v>75</v>
      </c>
      <c r="B47">
        <v>19</v>
      </c>
      <c r="C47">
        <v>206</v>
      </c>
      <c r="D47" s="78">
        <v>5.4238900151161635</v>
      </c>
      <c r="E47" s="78">
        <v>24.604501222579227</v>
      </c>
      <c r="F47" s="78">
        <v>5.423890015116153</v>
      </c>
      <c r="G47" s="78">
        <v>24.604501222579216</v>
      </c>
      <c r="H47" s="78">
        <v>5.423890015116154</v>
      </c>
      <c r="I47" s="6">
        <v>24.604501222579216</v>
      </c>
      <c r="J47" s="6">
        <v>5.423890015116157</v>
      </c>
      <c r="K47" s="6">
        <v>24.6045012225794</v>
      </c>
      <c r="O47" s="78">
        <f t="shared" si="6"/>
        <v>-9.769962616701378E-15</v>
      </c>
      <c r="P47" s="78">
        <f t="shared" si="1"/>
        <v>0</v>
      </c>
      <c r="Q47" s="78">
        <f t="shared" si="2"/>
        <v>0</v>
      </c>
      <c r="R47" s="78">
        <f t="shared" si="3"/>
        <v>0</v>
      </c>
      <c r="S47" s="78">
        <f t="shared" si="4"/>
        <v>0</v>
      </c>
      <c r="T47" s="78">
        <f t="shared" si="5"/>
        <v>-1.8474111129762605E-13</v>
      </c>
    </row>
    <row r="48" spans="1:20" ht="12.75">
      <c r="A48">
        <v>-2</v>
      </c>
      <c r="B48">
        <v>-70</v>
      </c>
      <c r="C48">
        <v>12</v>
      </c>
      <c r="D48" s="78">
        <v>21.539168080590827</v>
      </c>
      <c r="E48" s="78">
        <v>184.38446220779764</v>
      </c>
      <c r="F48" s="78">
        <v>21.53916808059084</v>
      </c>
      <c r="G48" s="78">
        <v>184.38446220779764</v>
      </c>
      <c r="H48" s="78">
        <v>21.539168080590816</v>
      </c>
      <c r="I48" s="6">
        <v>184.38446220779764</v>
      </c>
      <c r="J48" s="6">
        <v>21.539168080590663</v>
      </c>
      <c r="K48" s="6">
        <v>184.38446220779792</v>
      </c>
      <c r="O48" s="78">
        <f t="shared" si="6"/>
        <v>0</v>
      </c>
      <c r="P48" s="78">
        <f t="shared" si="1"/>
        <v>0</v>
      </c>
      <c r="Q48" s="78">
        <f t="shared" si="2"/>
        <v>0</v>
      </c>
      <c r="R48" s="78">
        <f t="shared" si="3"/>
        <v>0</v>
      </c>
      <c r="S48" s="78">
        <f t="shared" si="4"/>
        <v>1.5276668818842154E-13</v>
      </c>
      <c r="T48" s="78">
        <f t="shared" si="5"/>
        <v>-2.8421709430404007E-13</v>
      </c>
    </row>
    <row r="49" spans="1:20" ht="12.75">
      <c r="A49">
        <v>50</v>
      </c>
      <c r="B49">
        <v>41</v>
      </c>
      <c r="C49">
        <v>146</v>
      </c>
      <c r="D49" s="78">
        <v>5.761591511741526</v>
      </c>
      <c r="E49" s="78">
        <v>334.9017947296469</v>
      </c>
      <c r="F49" s="78">
        <v>5.761591511741529</v>
      </c>
      <c r="G49" s="78">
        <v>334.9017947296469</v>
      </c>
      <c r="H49" s="78">
        <v>5.761591511741526</v>
      </c>
      <c r="I49" s="6">
        <v>334.9017947296469</v>
      </c>
      <c r="J49" s="6">
        <v>5.761591511741532</v>
      </c>
      <c r="K49" s="6">
        <v>334.9017947296468</v>
      </c>
      <c r="O49" s="78">
        <f t="shared" si="6"/>
        <v>0</v>
      </c>
      <c r="P49" s="78">
        <f t="shared" si="1"/>
        <v>0</v>
      </c>
      <c r="Q49" s="78">
        <f t="shared" si="2"/>
        <v>0</v>
      </c>
      <c r="R49" s="78">
        <f t="shared" si="3"/>
        <v>0</v>
      </c>
      <c r="S49" s="78">
        <f t="shared" si="4"/>
        <v>0</v>
      </c>
      <c r="T49" s="78">
        <f t="shared" si="5"/>
        <v>0</v>
      </c>
    </row>
    <row r="50" spans="1:20" ht="12.75">
      <c r="A50">
        <v>-49</v>
      </c>
      <c r="B50">
        <v>-44</v>
      </c>
      <c r="C50">
        <v>108</v>
      </c>
      <c r="D50" s="78">
        <v>22.23653713378338</v>
      </c>
      <c r="E50" s="78">
        <v>227.65481288264994</v>
      </c>
      <c r="F50" s="78">
        <v>22.236537133783365</v>
      </c>
      <c r="G50" s="78">
        <v>227.65481288264994</v>
      </c>
      <c r="H50" s="78">
        <v>22.236537133783372</v>
      </c>
      <c r="I50" s="6">
        <v>227.65481288264994</v>
      </c>
      <c r="J50" s="6">
        <v>22.236537133783365</v>
      </c>
      <c r="K50" s="6">
        <v>227.65481288264994</v>
      </c>
      <c r="O50" s="78">
        <f t="shared" si="6"/>
        <v>0</v>
      </c>
      <c r="P50" s="78">
        <f t="shared" si="1"/>
        <v>0</v>
      </c>
      <c r="Q50" s="78">
        <f t="shared" si="2"/>
        <v>0</v>
      </c>
      <c r="R50" s="78">
        <f t="shared" si="3"/>
        <v>0</v>
      </c>
      <c r="S50" s="78">
        <f t="shared" si="4"/>
        <v>0</v>
      </c>
      <c r="T50" s="78">
        <f t="shared" si="5"/>
        <v>0</v>
      </c>
    </row>
    <row r="51" spans="1:20" ht="12.75">
      <c r="A51">
        <v>-83</v>
      </c>
      <c r="B51">
        <v>51</v>
      </c>
      <c r="C51">
        <v>22</v>
      </c>
      <c r="D51" s="78">
        <v>-44.44650275560791</v>
      </c>
      <c r="E51" s="78">
        <v>340.71770100786415</v>
      </c>
      <c r="F51" s="78">
        <v>-44.446502755607895</v>
      </c>
      <c r="G51" s="78">
        <v>340.71770100786415</v>
      </c>
      <c r="H51" s="78">
        <v>-44.446502755607895</v>
      </c>
      <c r="I51" s="6">
        <v>340.71770100786415</v>
      </c>
      <c r="J51" s="6">
        <v>-44.446502755607895</v>
      </c>
      <c r="K51" s="6">
        <v>340.7177010078641</v>
      </c>
      <c r="O51" s="78">
        <f t="shared" si="6"/>
        <v>0</v>
      </c>
      <c r="P51" s="78">
        <f t="shared" si="1"/>
        <v>0</v>
      </c>
      <c r="Q51" s="78">
        <f t="shared" si="2"/>
        <v>0</v>
      </c>
      <c r="R51" s="78">
        <f t="shared" si="3"/>
        <v>0</v>
      </c>
      <c r="S51" s="78">
        <f t="shared" si="4"/>
        <v>0</v>
      </c>
      <c r="T51" s="78">
        <f t="shared" si="5"/>
        <v>0</v>
      </c>
    </row>
    <row r="52" spans="1:20" ht="12.75">
      <c r="A52">
        <v>26</v>
      </c>
      <c r="B52">
        <v>2</v>
      </c>
      <c r="C52">
        <v>210</v>
      </c>
      <c r="D52" s="78">
        <v>-49.69442369428061</v>
      </c>
      <c r="E52" s="78">
        <v>50.57794012919523</v>
      </c>
      <c r="F52" s="78">
        <v>-49.694423694280594</v>
      </c>
      <c r="G52" s="78">
        <v>50.57794012919521</v>
      </c>
      <c r="H52" s="78">
        <v>-49.694423694280594</v>
      </c>
      <c r="I52" s="6">
        <v>50.57794012919521</v>
      </c>
      <c r="J52" s="6">
        <v>-49.69442369428058</v>
      </c>
      <c r="K52" s="6">
        <v>50.57794012919521</v>
      </c>
      <c r="O52" s="78">
        <f t="shared" si="6"/>
        <v>0</v>
      </c>
      <c r="P52" s="78">
        <f t="shared" si="1"/>
        <v>0</v>
      </c>
      <c r="Q52" s="78">
        <f t="shared" si="2"/>
        <v>0</v>
      </c>
      <c r="R52" s="78">
        <f t="shared" si="3"/>
        <v>0</v>
      </c>
      <c r="S52" s="78">
        <f t="shared" si="4"/>
        <v>0</v>
      </c>
      <c r="T52" s="78">
        <f t="shared" si="5"/>
        <v>0</v>
      </c>
    </row>
    <row r="53" spans="1:20" ht="12.75">
      <c r="A53">
        <v>7</v>
      </c>
      <c r="B53">
        <v>-6</v>
      </c>
      <c r="C53">
        <v>294</v>
      </c>
      <c r="D53" s="78">
        <v>22.87702523115778</v>
      </c>
      <c r="E53" s="78">
        <v>99.56188002268422</v>
      </c>
      <c r="F53" s="78">
        <v>22.87702523115777</v>
      </c>
      <c r="G53" s="78">
        <v>99.56188002268419</v>
      </c>
      <c r="H53" s="78">
        <v>22.87702523115779</v>
      </c>
      <c r="I53" s="6">
        <v>99.56188002268419</v>
      </c>
      <c r="J53" s="6">
        <v>22.877025231157727</v>
      </c>
      <c r="K53" s="6">
        <v>99.56188002268418</v>
      </c>
      <c r="O53" s="78">
        <f t="shared" si="6"/>
        <v>0</v>
      </c>
      <c r="P53" s="78">
        <f t="shared" si="1"/>
        <v>0</v>
      </c>
      <c r="Q53" s="78">
        <f t="shared" si="2"/>
        <v>0</v>
      </c>
      <c r="R53" s="78">
        <f t="shared" si="3"/>
        <v>0</v>
      </c>
      <c r="S53" s="78">
        <f t="shared" si="4"/>
        <v>6.394884621840902E-14</v>
      </c>
      <c r="T53" s="78">
        <f t="shared" si="5"/>
        <v>0</v>
      </c>
    </row>
    <row r="54" spans="1:20" ht="12.75">
      <c r="A54">
        <v>13</v>
      </c>
      <c r="B54">
        <v>42</v>
      </c>
      <c r="C54">
        <v>282</v>
      </c>
      <c r="D54" s="78">
        <v>17.521886529823337</v>
      </c>
      <c r="E54" s="78">
        <v>49.665016524791554</v>
      </c>
      <c r="F54" s="78">
        <v>17.52188652982336</v>
      </c>
      <c r="G54" s="78">
        <v>49.66501652479155</v>
      </c>
      <c r="H54" s="78">
        <v>17.52188652982332</v>
      </c>
      <c r="I54" s="6">
        <v>49.665016524791554</v>
      </c>
      <c r="J54" s="6">
        <v>17.521886529823327</v>
      </c>
      <c r="K54" s="6">
        <v>49.66501652479154</v>
      </c>
      <c r="O54" s="78">
        <f t="shared" si="6"/>
        <v>0</v>
      </c>
      <c r="P54" s="78">
        <f t="shared" si="1"/>
        <v>-3.907985046680551E-14</v>
      </c>
      <c r="Q54" s="78">
        <f t="shared" si="2"/>
        <v>0</v>
      </c>
      <c r="R54" s="78">
        <f t="shared" si="3"/>
        <v>0</v>
      </c>
      <c r="S54" s="78">
        <f t="shared" si="4"/>
        <v>0</v>
      </c>
      <c r="T54" s="78">
        <f t="shared" si="5"/>
        <v>0</v>
      </c>
    </row>
    <row r="55" spans="1:20" ht="12.75">
      <c r="A55">
        <v>56</v>
      </c>
      <c r="B55">
        <v>65</v>
      </c>
      <c r="C55">
        <v>323</v>
      </c>
      <c r="D55" s="78">
        <v>70.06849987783099</v>
      </c>
      <c r="E55" s="78">
        <v>48.25245029978355</v>
      </c>
      <c r="F55" s="78">
        <v>70.06849987783103</v>
      </c>
      <c r="G55" s="78">
        <v>48.25245029978369</v>
      </c>
      <c r="H55" s="78">
        <v>70.06849987783103</v>
      </c>
      <c r="I55" s="6">
        <v>48.252450299783675</v>
      </c>
      <c r="J55" s="6">
        <v>70.06849987783103</v>
      </c>
      <c r="K55" s="6">
        <v>48.25245029978366</v>
      </c>
      <c r="O55" s="78">
        <f t="shared" si="6"/>
        <v>0</v>
      </c>
      <c r="P55" s="78">
        <f t="shared" si="1"/>
        <v>0</v>
      </c>
      <c r="Q55" s="78">
        <f t="shared" si="2"/>
        <v>1.2789769243681803E-13</v>
      </c>
      <c r="R55" s="78">
        <f t="shared" si="3"/>
        <v>0</v>
      </c>
      <c r="S55" s="78">
        <f t="shared" si="4"/>
        <v>0</v>
      </c>
      <c r="T55" s="78">
        <f t="shared" si="5"/>
        <v>0</v>
      </c>
    </row>
    <row r="56" spans="1:20" ht="12.75">
      <c r="A56">
        <v>-47</v>
      </c>
      <c r="B56">
        <v>-19</v>
      </c>
      <c r="C56">
        <v>264</v>
      </c>
      <c r="D56" s="78">
        <v>9.828586102202225</v>
      </c>
      <c r="E56" s="78">
        <v>107.37974189996204</v>
      </c>
      <c r="F56" s="78">
        <v>9.828586102202202</v>
      </c>
      <c r="G56" s="78">
        <v>107.37974189996206</v>
      </c>
      <c r="H56" s="78">
        <v>9.828586102202204</v>
      </c>
      <c r="I56" s="6">
        <v>107.37974189996206</v>
      </c>
      <c r="J56" s="6">
        <v>9.8285861022022</v>
      </c>
      <c r="K56" s="6">
        <v>107.37974189996204</v>
      </c>
      <c r="O56" s="78">
        <f t="shared" si="6"/>
        <v>-2.1316282072803006E-14</v>
      </c>
      <c r="P56" s="78">
        <f t="shared" si="1"/>
        <v>0</v>
      </c>
      <c r="Q56" s="78">
        <f t="shared" si="2"/>
        <v>0</v>
      </c>
      <c r="R56" s="78">
        <f t="shared" si="3"/>
        <v>0</v>
      </c>
      <c r="S56" s="78">
        <f t="shared" si="4"/>
        <v>0</v>
      </c>
      <c r="T56" s="78">
        <f t="shared" si="5"/>
        <v>0</v>
      </c>
    </row>
    <row r="57" spans="1:20" ht="12.75">
      <c r="A57">
        <v>81</v>
      </c>
      <c r="B57">
        <v>48</v>
      </c>
      <c r="C57">
        <v>68</v>
      </c>
      <c r="D57" s="78">
        <v>50.642795994127006</v>
      </c>
      <c r="E57" s="78">
        <v>258.0486397598342</v>
      </c>
      <c r="F57" s="78">
        <v>50.642795994127006</v>
      </c>
      <c r="G57" s="78">
        <v>258.0486397598342</v>
      </c>
      <c r="H57" s="78">
        <v>50.64279599412702</v>
      </c>
      <c r="I57" s="6">
        <v>258.0486397598342</v>
      </c>
      <c r="J57" s="6">
        <v>50.64279599412701</v>
      </c>
      <c r="K57" s="6">
        <v>258.04863975983426</v>
      </c>
      <c r="O57" s="78">
        <f t="shared" si="6"/>
        <v>0</v>
      </c>
      <c r="P57" s="78">
        <f t="shared" si="1"/>
        <v>0</v>
      </c>
      <c r="Q57" s="78">
        <f t="shared" si="2"/>
        <v>0</v>
      </c>
      <c r="R57" s="78">
        <f t="shared" si="3"/>
        <v>0</v>
      </c>
      <c r="S57" s="78">
        <f t="shared" si="4"/>
        <v>0</v>
      </c>
      <c r="T57" s="78">
        <f t="shared" si="5"/>
        <v>0</v>
      </c>
    </row>
    <row r="58" spans="1:20" ht="12.75">
      <c r="A58">
        <v>18</v>
      </c>
      <c r="B58">
        <v>-79</v>
      </c>
      <c r="C58">
        <v>210</v>
      </c>
      <c r="D58" s="78">
        <v>-27.41919761148911</v>
      </c>
      <c r="E58" s="78">
        <v>173.83001692037112</v>
      </c>
      <c r="F58" s="78">
        <v>-27.419197611489118</v>
      </c>
      <c r="G58" s="78">
        <v>173.83001692037115</v>
      </c>
      <c r="H58" s="78">
        <v>-27.41919761148913</v>
      </c>
      <c r="I58" s="6">
        <v>173.83001692037112</v>
      </c>
      <c r="J58" s="6">
        <v>-27.419197611489114</v>
      </c>
      <c r="K58" s="6">
        <v>173.83001692037118</v>
      </c>
      <c r="O58" s="78">
        <f t="shared" si="6"/>
        <v>0</v>
      </c>
      <c r="P58" s="78">
        <f t="shared" si="1"/>
        <v>0</v>
      </c>
      <c r="Q58" s="78">
        <f t="shared" si="2"/>
        <v>0</v>
      </c>
      <c r="R58" s="78">
        <f t="shared" si="3"/>
        <v>0</v>
      </c>
      <c r="S58" s="78">
        <f t="shared" si="4"/>
        <v>0</v>
      </c>
      <c r="T58" s="78">
        <f t="shared" si="5"/>
        <v>0</v>
      </c>
    </row>
    <row r="59" spans="1:20" ht="12.75">
      <c r="A59">
        <v>-19</v>
      </c>
      <c r="B59">
        <v>-45</v>
      </c>
      <c r="C59">
        <v>229</v>
      </c>
      <c r="D59" s="78">
        <v>-12.029670776490383</v>
      </c>
      <c r="E59" s="78">
        <v>146.93140668718002</v>
      </c>
      <c r="F59" s="78">
        <v>-12.029670776490413</v>
      </c>
      <c r="G59" s="78">
        <v>146.93140668718002</v>
      </c>
      <c r="H59" s="78">
        <v>-12.029670776490407</v>
      </c>
      <c r="I59" s="6">
        <v>146.93140668718002</v>
      </c>
      <c r="J59" s="6">
        <v>-12.029670776490375</v>
      </c>
      <c r="K59" s="6">
        <v>146.93140668718002</v>
      </c>
      <c r="O59" s="78">
        <f t="shared" si="6"/>
        <v>-2.4868995751603507E-14</v>
      </c>
      <c r="P59" s="78">
        <f t="shared" si="1"/>
        <v>0</v>
      </c>
      <c r="Q59" s="78">
        <f t="shared" si="2"/>
        <v>0</v>
      </c>
      <c r="R59" s="78">
        <f t="shared" si="3"/>
        <v>0</v>
      </c>
      <c r="S59" s="78">
        <f t="shared" si="4"/>
        <v>-3.197442310920451E-14</v>
      </c>
      <c r="T59" s="78">
        <f t="shared" si="5"/>
        <v>0</v>
      </c>
    </row>
    <row r="60" spans="1:20" ht="12.75">
      <c r="A60">
        <v>-20</v>
      </c>
      <c r="B60">
        <v>4</v>
      </c>
      <c r="C60">
        <v>325</v>
      </c>
      <c r="D60" s="78">
        <v>48.07481637458358</v>
      </c>
      <c r="E60" s="78">
        <v>58.909318437301536</v>
      </c>
      <c r="F60" s="78">
        <v>48.07481637458362</v>
      </c>
      <c r="G60" s="78">
        <v>58.90931843730158</v>
      </c>
      <c r="H60" s="78">
        <v>48.07481637458356</v>
      </c>
      <c r="I60" s="6">
        <v>58.90931843730159</v>
      </c>
      <c r="J60" s="6">
        <v>48.07481637458358</v>
      </c>
      <c r="K60" s="6">
        <v>58.90931843730159</v>
      </c>
      <c r="O60" s="78">
        <f t="shared" si="6"/>
        <v>0</v>
      </c>
      <c r="P60" s="78">
        <f t="shared" si="1"/>
        <v>-5.684341886080802E-14</v>
      </c>
      <c r="Q60" s="78">
        <f t="shared" si="2"/>
        <v>5.684341886080802E-14</v>
      </c>
      <c r="R60" s="78">
        <f t="shared" si="3"/>
        <v>0</v>
      </c>
      <c r="S60" s="78">
        <f t="shared" si="4"/>
        <v>0</v>
      </c>
      <c r="T60" s="78">
        <f t="shared" si="5"/>
        <v>0</v>
      </c>
    </row>
    <row r="61" spans="1:20" ht="12.75">
      <c r="A61">
        <v>-22</v>
      </c>
      <c r="B61">
        <v>15</v>
      </c>
      <c r="C61">
        <v>209</v>
      </c>
      <c r="D61" s="78">
        <v>-61.67334583154648</v>
      </c>
      <c r="E61" s="78">
        <v>99.278075677235</v>
      </c>
      <c r="F61" s="78">
        <v>-61.673345831546484</v>
      </c>
      <c r="G61" s="78">
        <v>99.27807567723492</v>
      </c>
      <c r="H61" s="78">
        <v>-61.67334583154649</v>
      </c>
      <c r="I61" s="6">
        <v>99.27807567723492</v>
      </c>
      <c r="J61" s="6">
        <v>-61.67334583154649</v>
      </c>
      <c r="K61" s="6">
        <v>99.2780756772349</v>
      </c>
      <c r="O61" s="78">
        <f t="shared" si="6"/>
        <v>0</v>
      </c>
      <c r="P61" s="78">
        <f t="shared" si="1"/>
        <v>0</v>
      </c>
      <c r="Q61" s="78">
        <f t="shared" si="2"/>
        <v>0</v>
      </c>
      <c r="R61" s="78">
        <f t="shared" si="3"/>
        <v>0</v>
      </c>
      <c r="S61" s="78">
        <f t="shared" si="4"/>
        <v>0</v>
      </c>
      <c r="T61" s="78">
        <f t="shared" si="5"/>
        <v>0</v>
      </c>
    </row>
    <row r="62" spans="1:20" ht="12.75">
      <c r="A62">
        <v>34</v>
      </c>
      <c r="B62">
        <v>-31</v>
      </c>
      <c r="C62">
        <v>43</v>
      </c>
      <c r="D62" s="78">
        <v>13.397872476330507</v>
      </c>
      <c r="E62" s="78">
        <v>216.93736678026823</v>
      </c>
      <c r="F62" s="78">
        <v>13.397872476330514</v>
      </c>
      <c r="G62" s="78">
        <v>216.93736678026823</v>
      </c>
      <c r="H62" s="78">
        <v>13.397872476330514</v>
      </c>
      <c r="I62" s="6">
        <v>216.93736678026823</v>
      </c>
      <c r="J62" s="6">
        <v>13.397872476330495</v>
      </c>
      <c r="K62" s="6">
        <v>216.93736678026823</v>
      </c>
      <c r="O62" s="78">
        <f t="shared" si="6"/>
        <v>0</v>
      </c>
      <c r="P62" s="78">
        <f t="shared" si="1"/>
        <v>0</v>
      </c>
      <c r="Q62" s="78">
        <f t="shared" si="2"/>
        <v>0</v>
      </c>
      <c r="R62" s="78">
        <f t="shared" si="3"/>
        <v>0</v>
      </c>
      <c r="S62" s="78">
        <f t="shared" si="4"/>
        <v>1.9539925233402755E-14</v>
      </c>
      <c r="T62" s="78">
        <f t="shared" si="5"/>
        <v>0</v>
      </c>
    </row>
    <row r="63" spans="1:20" ht="12.75">
      <c r="A63">
        <v>13</v>
      </c>
      <c r="B63">
        <v>-18</v>
      </c>
      <c r="C63">
        <v>348</v>
      </c>
      <c r="D63" s="78">
        <v>56.815990388314624</v>
      </c>
      <c r="E63" s="78">
        <v>158.8215664724315</v>
      </c>
      <c r="F63" s="78">
        <v>56.81599038831461</v>
      </c>
      <c r="G63" s="78">
        <v>158.82156647243153</v>
      </c>
      <c r="H63" s="78">
        <v>56.81599038831463</v>
      </c>
      <c r="I63" s="6">
        <v>158.82156647243147</v>
      </c>
      <c r="J63" s="6">
        <v>56.815990388314674</v>
      </c>
      <c r="K63" s="6">
        <v>158.82156647243153</v>
      </c>
      <c r="O63" s="78">
        <f t="shared" si="6"/>
        <v>0</v>
      </c>
      <c r="P63" s="78">
        <f t="shared" si="1"/>
        <v>0</v>
      </c>
      <c r="Q63" s="78">
        <f t="shared" si="2"/>
        <v>0</v>
      </c>
      <c r="R63" s="78">
        <f t="shared" si="3"/>
        <v>0</v>
      </c>
      <c r="S63" s="78">
        <f t="shared" si="4"/>
        <v>0</v>
      </c>
      <c r="T63" s="78">
        <f t="shared" si="5"/>
        <v>0</v>
      </c>
    </row>
    <row r="64" spans="1:20" ht="12.75">
      <c r="A64">
        <v>-1</v>
      </c>
      <c r="B64">
        <v>46</v>
      </c>
      <c r="C64">
        <v>10</v>
      </c>
      <c r="D64" s="78">
        <v>42.17880830981358</v>
      </c>
      <c r="E64" s="78">
        <v>350.63189729721864</v>
      </c>
      <c r="F64" s="78">
        <v>42.17880830981354</v>
      </c>
      <c r="G64" s="78">
        <v>350.63189729721864</v>
      </c>
      <c r="H64" s="78">
        <v>42.17880830981357</v>
      </c>
      <c r="I64" s="6">
        <v>350.63189729721864</v>
      </c>
      <c r="J64" s="6">
        <v>42.17880830981389</v>
      </c>
      <c r="K64" s="6">
        <v>350.6318972972193</v>
      </c>
      <c r="O64" s="78">
        <f t="shared" si="6"/>
        <v>0</v>
      </c>
      <c r="P64" s="78">
        <f t="shared" si="1"/>
        <v>0</v>
      </c>
      <c r="Q64" s="78">
        <f t="shared" si="2"/>
        <v>0</v>
      </c>
      <c r="R64" s="78">
        <f t="shared" si="3"/>
        <v>0</v>
      </c>
      <c r="S64" s="78">
        <f t="shared" si="4"/>
        <v>-3.197442310920451E-13</v>
      </c>
      <c r="T64" s="78">
        <f t="shared" si="5"/>
        <v>-6.821210263296962E-13</v>
      </c>
    </row>
    <row r="65" spans="1:20" ht="12.75">
      <c r="A65">
        <v>-14</v>
      </c>
      <c r="B65">
        <v>47</v>
      </c>
      <c r="C65">
        <v>319</v>
      </c>
      <c r="D65" s="78">
        <v>18.813644031776615</v>
      </c>
      <c r="E65" s="78">
        <v>28.20876605851379</v>
      </c>
      <c r="F65" s="78">
        <v>18.81364403177662</v>
      </c>
      <c r="G65" s="78">
        <v>28.20876605851379</v>
      </c>
      <c r="H65" s="78">
        <v>18.813644031776615</v>
      </c>
      <c r="I65" s="6">
        <v>28.208766058513817</v>
      </c>
      <c r="J65" s="6">
        <v>18.813644031776633</v>
      </c>
      <c r="K65" s="6">
        <v>28.20876605851379</v>
      </c>
      <c r="O65" s="78">
        <f t="shared" si="6"/>
        <v>0</v>
      </c>
      <c r="P65" s="78">
        <f t="shared" si="1"/>
        <v>0</v>
      </c>
      <c r="Q65" s="78">
        <f t="shared" si="2"/>
        <v>2.842170943040401E-14</v>
      </c>
      <c r="R65" s="78">
        <f t="shared" si="3"/>
        <v>2.842170943040401E-14</v>
      </c>
      <c r="S65" s="78">
        <f t="shared" si="4"/>
        <v>0</v>
      </c>
      <c r="T65" s="78">
        <f t="shared" si="5"/>
        <v>2.842170943040401E-14</v>
      </c>
    </row>
    <row r="66" spans="1:20" ht="12.75">
      <c r="A66">
        <v>-73</v>
      </c>
      <c r="B66">
        <v>16</v>
      </c>
      <c r="C66">
        <v>160</v>
      </c>
      <c r="D66" s="78">
        <v>-31.849503428837036</v>
      </c>
      <c r="E66" s="78">
        <v>202.77079069933788</v>
      </c>
      <c r="F66" s="78">
        <v>-31.849503428837036</v>
      </c>
      <c r="G66" s="78">
        <v>202.7707906993379</v>
      </c>
      <c r="H66" s="78">
        <v>-31.84950342883705</v>
      </c>
      <c r="I66" s="6">
        <v>202.7707906993379</v>
      </c>
      <c r="J66" s="6">
        <v>-31.849503428837046</v>
      </c>
      <c r="K66" s="6">
        <v>202.7707906993379</v>
      </c>
      <c r="O66" s="78">
        <f aca="true" t="shared" si="7" ref="O66:O100">H66-D66</f>
        <v>0</v>
      </c>
      <c r="P66" s="78">
        <f t="shared" si="1"/>
        <v>0</v>
      </c>
      <c r="Q66" s="78">
        <f t="shared" si="2"/>
        <v>0</v>
      </c>
      <c r="R66" s="78">
        <f t="shared" si="3"/>
        <v>0</v>
      </c>
      <c r="S66" s="78">
        <f t="shared" si="4"/>
        <v>0</v>
      </c>
      <c r="T66" s="78">
        <f t="shared" si="5"/>
        <v>0</v>
      </c>
    </row>
    <row r="67" spans="1:20" ht="12.75">
      <c r="A67">
        <v>69</v>
      </c>
      <c r="B67">
        <v>-55</v>
      </c>
      <c r="C67">
        <v>45</v>
      </c>
      <c r="D67" s="78">
        <v>-38.272151382176524</v>
      </c>
      <c r="E67" s="78">
        <v>211.10520626949</v>
      </c>
      <c r="F67" s="78">
        <v>-38.27215138217654</v>
      </c>
      <c r="G67" s="78">
        <v>211.10520626949</v>
      </c>
      <c r="H67" s="78">
        <v>-38.27215138217655</v>
      </c>
      <c r="I67" s="6">
        <v>211.10520626949</v>
      </c>
      <c r="J67" s="6">
        <v>-38.27215138217654</v>
      </c>
      <c r="K67" s="6">
        <v>211.10520626949003</v>
      </c>
      <c r="O67" s="78">
        <f t="shared" si="7"/>
        <v>0</v>
      </c>
      <c r="P67" s="78">
        <f aca="true" t="shared" si="8" ref="P67:P100">H67-F67</f>
        <v>0</v>
      </c>
      <c r="Q67" s="78">
        <f aca="true" t="shared" si="9" ref="Q67:Q100">I67-E67</f>
        <v>0</v>
      </c>
      <c r="R67" s="78">
        <f aca="true" t="shared" si="10" ref="R67:R100">I67-G67</f>
        <v>0</v>
      </c>
      <c r="S67" s="78">
        <f aca="true" t="shared" si="11" ref="S67:S100">H67-J67</f>
        <v>0</v>
      </c>
      <c r="T67" s="78">
        <f aca="true" t="shared" si="12" ref="T67:T100">I67-K67</f>
        <v>0</v>
      </c>
    </row>
    <row r="68" spans="1:20" ht="12.75">
      <c r="A68">
        <v>60</v>
      </c>
      <c r="B68">
        <v>58</v>
      </c>
      <c r="C68">
        <v>37</v>
      </c>
      <c r="D68" s="78">
        <v>71.09151264871201</v>
      </c>
      <c r="E68" s="78">
        <v>280.22259314173135</v>
      </c>
      <c r="F68" s="78">
        <v>71.09151264871204</v>
      </c>
      <c r="G68" s="78">
        <v>280.2225931417307</v>
      </c>
      <c r="H68" s="78">
        <v>71.09151264871204</v>
      </c>
      <c r="I68" s="6">
        <v>280.2225931417307</v>
      </c>
      <c r="J68" s="6">
        <v>71.09151264871204</v>
      </c>
      <c r="K68" s="6">
        <v>280.2225931417307</v>
      </c>
      <c r="O68" s="78">
        <f t="shared" si="7"/>
        <v>0</v>
      </c>
      <c r="P68" s="78">
        <f t="shared" si="8"/>
        <v>0</v>
      </c>
      <c r="Q68" s="78">
        <f t="shared" si="9"/>
        <v>-6.252776074688882E-13</v>
      </c>
      <c r="R68" s="78">
        <f t="shared" si="10"/>
        <v>0</v>
      </c>
      <c r="S68" s="78">
        <f t="shared" si="11"/>
        <v>0</v>
      </c>
      <c r="T68" s="78">
        <f t="shared" si="12"/>
        <v>0</v>
      </c>
    </row>
    <row r="69" spans="1:20" ht="12.75">
      <c r="A69">
        <v>-53</v>
      </c>
      <c r="B69">
        <v>28</v>
      </c>
      <c r="C69">
        <v>37</v>
      </c>
      <c r="D69" s="78">
        <v>2.833582640875595</v>
      </c>
      <c r="E69" s="78">
        <v>327.85785103051825</v>
      </c>
      <c r="F69" s="78">
        <v>2.8335826408755964</v>
      </c>
      <c r="G69" s="78">
        <v>327.85785103051825</v>
      </c>
      <c r="H69" s="78">
        <v>2.8335826408755986</v>
      </c>
      <c r="I69" s="6">
        <v>327.8578510305182</v>
      </c>
      <c r="J69" s="6">
        <v>2.8335826408755973</v>
      </c>
      <c r="K69" s="6">
        <v>327.8578510305183</v>
      </c>
      <c r="O69" s="78">
        <f t="shared" si="7"/>
        <v>3.552713678800501E-15</v>
      </c>
      <c r="P69" s="78">
        <f t="shared" si="8"/>
        <v>0</v>
      </c>
      <c r="Q69" s="78">
        <f t="shared" si="9"/>
        <v>0</v>
      </c>
      <c r="R69" s="78">
        <f t="shared" si="10"/>
        <v>0</v>
      </c>
      <c r="S69" s="78">
        <f t="shared" si="11"/>
        <v>0</v>
      </c>
      <c r="T69" s="78">
        <f t="shared" si="12"/>
        <v>0</v>
      </c>
    </row>
    <row r="70" spans="1:20" ht="12.75">
      <c r="A70">
        <v>-73</v>
      </c>
      <c r="B70">
        <v>-84</v>
      </c>
      <c r="C70">
        <v>310</v>
      </c>
      <c r="D70" s="78">
        <v>76.09853924394264</v>
      </c>
      <c r="E70" s="78">
        <v>160.53151501358457</v>
      </c>
      <c r="F70" s="78">
        <v>76.0985392439427</v>
      </c>
      <c r="G70" s="78">
        <v>160.53151501358442</v>
      </c>
      <c r="H70" s="78">
        <v>76.09853924394267</v>
      </c>
      <c r="I70" s="6">
        <v>160.53151501358445</v>
      </c>
      <c r="J70" s="6">
        <v>76.09853924394271</v>
      </c>
      <c r="K70" s="6">
        <v>160.53151501358445</v>
      </c>
      <c r="O70" s="78">
        <f t="shared" si="7"/>
        <v>0</v>
      </c>
      <c r="P70" s="78">
        <f t="shared" si="8"/>
        <v>0</v>
      </c>
      <c r="Q70" s="78">
        <f t="shared" si="9"/>
        <v>0</v>
      </c>
      <c r="R70" s="78">
        <f t="shared" si="10"/>
        <v>0</v>
      </c>
      <c r="S70" s="78">
        <f t="shared" si="11"/>
        <v>0</v>
      </c>
      <c r="T70" s="78">
        <f t="shared" si="12"/>
        <v>0</v>
      </c>
    </row>
    <row r="71" spans="1:20" ht="12.75">
      <c r="A71">
        <v>55</v>
      </c>
      <c r="B71">
        <v>14</v>
      </c>
      <c r="C71">
        <v>116</v>
      </c>
      <c r="D71" s="78">
        <v>-2.6250490003216265</v>
      </c>
      <c r="E71" s="78">
        <v>299.1894228786733</v>
      </c>
      <c r="F71" s="78">
        <v>-2.6250490003216265</v>
      </c>
      <c r="G71" s="78">
        <v>299.1894228786733</v>
      </c>
      <c r="H71" s="78">
        <v>-2.6250490003216265</v>
      </c>
      <c r="I71" s="6">
        <v>299.1894228786733</v>
      </c>
      <c r="J71" s="6">
        <v>-2.6250490003216265</v>
      </c>
      <c r="K71" s="6">
        <v>299.1894228786734</v>
      </c>
      <c r="O71" s="78">
        <f t="shared" si="7"/>
        <v>0</v>
      </c>
      <c r="P71" s="78">
        <f t="shared" si="8"/>
        <v>0</v>
      </c>
      <c r="Q71" s="78">
        <f t="shared" si="9"/>
        <v>0</v>
      </c>
      <c r="R71" s="78">
        <f t="shared" si="10"/>
        <v>0</v>
      </c>
      <c r="S71" s="78">
        <f t="shared" si="11"/>
        <v>0</v>
      </c>
      <c r="T71" s="78">
        <f t="shared" si="12"/>
        <v>0</v>
      </c>
    </row>
    <row r="72" spans="1:20" ht="12.75">
      <c r="A72">
        <v>31</v>
      </c>
      <c r="B72">
        <v>31</v>
      </c>
      <c r="C72">
        <v>86</v>
      </c>
      <c r="D72" s="78">
        <v>18.45240568222367</v>
      </c>
      <c r="E72" s="78">
        <v>295.6540791729723</v>
      </c>
      <c r="F72" s="78">
        <v>18.45240568222366</v>
      </c>
      <c r="G72" s="78">
        <v>295.6540791729723</v>
      </c>
      <c r="H72" s="78">
        <v>18.45240568222366</v>
      </c>
      <c r="I72" s="6">
        <v>295.6540791729723</v>
      </c>
      <c r="J72" s="6">
        <v>18.452405682223652</v>
      </c>
      <c r="K72" s="6">
        <v>295.6540791729723</v>
      </c>
      <c r="O72" s="78">
        <f t="shared" si="7"/>
        <v>0</v>
      </c>
      <c r="P72" s="78">
        <f t="shared" si="8"/>
        <v>0</v>
      </c>
      <c r="Q72" s="78">
        <f t="shared" si="9"/>
        <v>0</v>
      </c>
      <c r="R72" s="78">
        <f t="shared" si="10"/>
        <v>0</v>
      </c>
      <c r="S72" s="78">
        <f t="shared" si="11"/>
        <v>0</v>
      </c>
      <c r="T72" s="78">
        <f t="shared" si="12"/>
        <v>0</v>
      </c>
    </row>
    <row r="73" spans="1:20" ht="12.75">
      <c r="A73">
        <v>-69</v>
      </c>
      <c r="B73">
        <v>82</v>
      </c>
      <c r="C73">
        <v>115</v>
      </c>
      <c r="D73" s="78">
        <v>-71.00958865133673</v>
      </c>
      <c r="E73" s="78">
        <v>337.19383994175655</v>
      </c>
      <c r="F73" s="78">
        <v>-71.00958865133661</v>
      </c>
      <c r="G73" s="78">
        <v>337.1938399417568</v>
      </c>
      <c r="H73" s="78">
        <v>-71.0095886513366</v>
      </c>
      <c r="I73" s="6">
        <v>337.1938399417567</v>
      </c>
      <c r="J73" s="6">
        <v>-71.00958865133659</v>
      </c>
      <c r="K73" s="6">
        <v>337.1938399417568</v>
      </c>
      <c r="O73" s="78">
        <f t="shared" si="7"/>
        <v>1.2789769243681803E-13</v>
      </c>
      <c r="P73" s="78">
        <f t="shared" si="8"/>
        <v>0</v>
      </c>
      <c r="Q73" s="78">
        <f t="shared" si="9"/>
        <v>0</v>
      </c>
      <c r="R73" s="78">
        <f t="shared" si="10"/>
        <v>0</v>
      </c>
      <c r="S73" s="78">
        <f t="shared" si="11"/>
        <v>0</v>
      </c>
      <c r="T73" s="78">
        <f t="shared" si="12"/>
        <v>0</v>
      </c>
    </row>
    <row r="74" spans="1:20" ht="12.75">
      <c r="A74">
        <v>-75</v>
      </c>
      <c r="B74">
        <v>65</v>
      </c>
      <c r="C74">
        <v>29</v>
      </c>
      <c r="D74" s="78">
        <v>-51.23849181469242</v>
      </c>
      <c r="E74" s="78">
        <v>340.89759985070714</v>
      </c>
      <c r="F74" s="78">
        <v>-51.2384918146924</v>
      </c>
      <c r="G74" s="78">
        <v>340.89759985070714</v>
      </c>
      <c r="H74" s="78">
        <v>-51.23849181469242</v>
      </c>
      <c r="I74" s="6">
        <v>340.89759985070714</v>
      </c>
      <c r="J74" s="6">
        <v>-51.23849181469242</v>
      </c>
      <c r="K74" s="6">
        <v>340.897599850707</v>
      </c>
      <c r="O74" s="78">
        <f t="shared" si="7"/>
        <v>0</v>
      </c>
      <c r="P74" s="78">
        <f t="shared" si="8"/>
        <v>0</v>
      </c>
      <c r="Q74" s="78">
        <f t="shared" si="9"/>
        <v>0</v>
      </c>
      <c r="R74" s="78">
        <f t="shared" si="10"/>
        <v>0</v>
      </c>
      <c r="S74" s="78">
        <f t="shared" si="11"/>
        <v>0</v>
      </c>
      <c r="T74" s="78">
        <f t="shared" si="12"/>
        <v>0</v>
      </c>
    </row>
    <row r="75" spans="1:20" ht="12.75">
      <c r="A75">
        <v>84</v>
      </c>
      <c r="B75">
        <v>-88</v>
      </c>
      <c r="C75">
        <v>18</v>
      </c>
      <c r="D75" s="78">
        <v>-82.07384344616364</v>
      </c>
      <c r="E75" s="78">
        <v>184.48553189062116</v>
      </c>
      <c r="F75" s="78">
        <v>-82.07384344616327</v>
      </c>
      <c r="G75" s="78">
        <v>184.48553189062096</v>
      </c>
      <c r="H75" s="78">
        <v>-82.07384344616325</v>
      </c>
      <c r="I75" s="6">
        <v>184.48553189062102</v>
      </c>
      <c r="J75" s="6">
        <v>-82.07384344616327</v>
      </c>
      <c r="K75" s="6">
        <v>184.48553189061948</v>
      </c>
      <c r="O75" s="78">
        <f t="shared" si="7"/>
        <v>3.836930773104541E-13</v>
      </c>
      <c r="P75" s="78">
        <f t="shared" si="8"/>
        <v>0</v>
      </c>
      <c r="Q75" s="78">
        <f t="shared" si="9"/>
        <v>0</v>
      </c>
      <c r="R75" s="78">
        <f t="shared" si="10"/>
        <v>0</v>
      </c>
      <c r="S75" s="78">
        <f t="shared" si="11"/>
        <v>0</v>
      </c>
      <c r="T75" s="78">
        <f t="shared" si="12"/>
        <v>1.5347723092418164E-12</v>
      </c>
    </row>
    <row r="76" spans="1:20" ht="12.75">
      <c r="A76">
        <v>-47</v>
      </c>
      <c r="B76">
        <v>53</v>
      </c>
      <c r="C76">
        <v>319</v>
      </c>
      <c r="D76" s="78">
        <v>-15.921757290223706</v>
      </c>
      <c r="E76" s="78">
        <v>24.241090099926765</v>
      </c>
      <c r="F76" s="78">
        <v>-15.92175729022371</v>
      </c>
      <c r="G76" s="78">
        <v>24.241090099926765</v>
      </c>
      <c r="H76" s="78">
        <v>-15.921757290223715</v>
      </c>
      <c r="I76" s="6">
        <v>24.241090099926765</v>
      </c>
      <c r="J76" s="6">
        <v>-15.921757290223725</v>
      </c>
      <c r="K76" s="6">
        <v>24.241090099926794</v>
      </c>
      <c r="O76" s="78">
        <f t="shared" si="7"/>
        <v>0</v>
      </c>
      <c r="P76" s="78">
        <f t="shared" si="8"/>
        <v>0</v>
      </c>
      <c r="Q76" s="78">
        <f t="shared" si="9"/>
        <v>0</v>
      </c>
      <c r="R76" s="78">
        <f t="shared" si="10"/>
        <v>0</v>
      </c>
      <c r="S76" s="78">
        <f t="shared" si="11"/>
        <v>0</v>
      </c>
      <c r="T76" s="78">
        <f t="shared" si="12"/>
        <v>-2.842170943040401E-14</v>
      </c>
    </row>
    <row r="77" spans="1:20" ht="12.75">
      <c r="A77">
        <v>47</v>
      </c>
      <c r="B77">
        <v>-78</v>
      </c>
      <c r="C77">
        <v>2</v>
      </c>
      <c r="D77" s="78">
        <v>-35.00604194852569</v>
      </c>
      <c r="E77" s="78">
        <v>180.50756765498176</v>
      </c>
      <c r="F77" s="78">
        <v>-35.00604194852571</v>
      </c>
      <c r="G77" s="78">
        <v>180.50756765498176</v>
      </c>
      <c r="H77" s="78">
        <v>-35.006041948525706</v>
      </c>
      <c r="I77" s="6">
        <v>180.50756765498173</v>
      </c>
      <c r="J77" s="6">
        <v>-35.00604194852571</v>
      </c>
      <c r="K77" s="6">
        <v>180.50756765498187</v>
      </c>
      <c r="O77" s="78">
        <f t="shared" si="7"/>
        <v>0</v>
      </c>
      <c r="P77" s="78">
        <f t="shared" si="8"/>
        <v>0</v>
      </c>
      <c r="Q77" s="78">
        <f t="shared" si="9"/>
        <v>0</v>
      </c>
      <c r="R77" s="78">
        <f t="shared" si="10"/>
        <v>0</v>
      </c>
      <c r="S77" s="78">
        <f t="shared" si="11"/>
        <v>0</v>
      </c>
      <c r="T77" s="78">
        <f t="shared" si="12"/>
        <v>0</v>
      </c>
    </row>
    <row r="78" spans="1:20" ht="12.75">
      <c r="A78">
        <v>-1</v>
      </c>
      <c r="B78">
        <v>87</v>
      </c>
      <c r="C78">
        <v>71</v>
      </c>
      <c r="D78" s="78">
        <v>-0.022469282217261945</v>
      </c>
      <c r="E78" s="78">
        <v>357.1635815669797</v>
      </c>
      <c r="F78" s="78">
        <v>-0.0224692822171271</v>
      </c>
      <c r="G78" s="78">
        <v>357.1635815669797</v>
      </c>
      <c r="H78" s="78">
        <v>-0.022469282217122546</v>
      </c>
      <c r="I78" s="6">
        <v>357.1635815669797</v>
      </c>
      <c r="J78" s="6">
        <v>-0.02246928221712713</v>
      </c>
      <c r="K78" s="6">
        <v>357.16358156697964</v>
      </c>
      <c r="O78" s="78">
        <f t="shared" si="7"/>
        <v>1.3939890908254426E-13</v>
      </c>
      <c r="P78" s="78">
        <f t="shared" si="8"/>
        <v>4.5553838479150954E-15</v>
      </c>
      <c r="Q78" s="78">
        <f t="shared" si="9"/>
        <v>0</v>
      </c>
      <c r="R78" s="78">
        <f t="shared" si="10"/>
        <v>0</v>
      </c>
      <c r="S78" s="78">
        <f t="shared" si="11"/>
        <v>4.583139423530724E-15</v>
      </c>
      <c r="T78" s="78">
        <f t="shared" si="12"/>
        <v>0</v>
      </c>
    </row>
    <row r="79" spans="1:20" ht="12.75">
      <c r="A79">
        <v>-10</v>
      </c>
      <c r="B79">
        <v>7</v>
      </c>
      <c r="C79">
        <v>261</v>
      </c>
      <c r="D79" s="78">
        <v>-10.024655247883206</v>
      </c>
      <c r="E79" s="78">
        <v>84.57754332512422</v>
      </c>
      <c r="F79" s="78">
        <v>-10.024655247883322</v>
      </c>
      <c r="G79" s="78">
        <v>84.5775433251242</v>
      </c>
      <c r="H79" s="78">
        <v>-10.024655247883297</v>
      </c>
      <c r="I79" s="6">
        <v>84.57754332512422</v>
      </c>
      <c r="J79" s="6">
        <v>-10.024655247883304</v>
      </c>
      <c r="K79" s="6">
        <v>84.57754332512424</v>
      </c>
      <c r="O79" s="78">
        <f t="shared" si="7"/>
        <v>-9.059419880941277E-14</v>
      </c>
      <c r="P79" s="78">
        <f t="shared" si="8"/>
        <v>2.4868995751603507E-14</v>
      </c>
      <c r="Q79" s="78">
        <f t="shared" si="9"/>
        <v>0</v>
      </c>
      <c r="R79" s="78">
        <f t="shared" si="10"/>
        <v>0</v>
      </c>
      <c r="S79" s="78">
        <f t="shared" si="11"/>
        <v>0</v>
      </c>
      <c r="T79" s="78">
        <f t="shared" si="12"/>
        <v>0</v>
      </c>
    </row>
    <row r="80" spans="1:20" ht="12.75">
      <c r="A80">
        <v>68</v>
      </c>
      <c r="B80">
        <v>-14</v>
      </c>
      <c r="C80">
        <v>292</v>
      </c>
      <c r="D80" s="78">
        <v>-5.056863566888557</v>
      </c>
      <c r="E80" s="78">
        <v>115.4236873062783</v>
      </c>
      <c r="F80" s="78">
        <v>-5.056863566888557</v>
      </c>
      <c r="G80" s="78">
        <v>115.42368730627828</v>
      </c>
      <c r="H80" s="78">
        <v>-5.056863566888563</v>
      </c>
      <c r="I80" s="6">
        <v>115.42368730627828</v>
      </c>
      <c r="J80" s="6">
        <v>-5.056863566888563</v>
      </c>
      <c r="K80" s="6">
        <v>115.42368730627825</v>
      </c>
      <c r="O80" s="78">
        <f t="shared" si="7"/>
        <v>0</v>
      </c>
      <c r="P80" s="78">
        <f t="shared" si="8"/>
        <v>0</v>
      </c>
      <c r="Q80" s="78">
        <f t="shared" si="9"/>
        <v>0</v>
      </c>
      <c r="R80" s="78">
        <f t="shared" si="10"/>
        <v>0</v>
      </c>
      <c r="S80" s="78">
        <f t="shared" si="11"/>
        <v>0</v>
      </c>
      <c r="T80" s="78">
        <f t="shared" si="12"/>
        <v>0</v>
      </c>
    </row>
    <row r="81" spans="1:20" ht="12.75">
      <c r="A81">
        <v>-78</v>
      </c>
      <c r="B81">
        <v>39</v>
      </c>
      <c r="C81">
        <v>125</v>
      </c>
      <c r="D81" s="78">
        <v>-45.09233576357722</v>
      </c>
      <c r="E81" s="78">
        <v>244.38822857755656</v>
      </c>
      <c r="F81" s="78">
        <v>-45.09233576357724</v>
      </c>
      <c r="G81" s="78">
        <v>244.3882285775566</v>
      </c>
      <c r="H81" s="78">
        <v>-45.09233576357722</v>
      </c>
      <c r="I81" s="6">
        <v>244.38822857755662</v>
      </c>
      <c r="J81" s="6">
        <v>-45.09233576357724</v>
      </c>
      <c r="K81" s="6">
        <v>244.3882285775566</v>
      </c>
      <c r="O81" s="78">
        <f t="shared" si="7"/>
        <v>0</v>
      </c>
      <c r="P81" s="78">
        <f t="shared" si="8"/>
        <v>0</v>
      </c>
      <c r="Q81" s="78">
        <f t="shared" si="9"/>
        <v>0</v>
      </c>
      <c r="R81" s="78">
        <f t="shared" si="10"/>
        <v>0</v>
      </c>
      <c r="S81" s="78">
        <f t="shared" si="11"/>
        <v>0</v>
      </c>
      <c r="T81" s="78">
        <f t="shared" si="12"/>
        <v>0</v>
      </c>
    </row>
    <row r="82" spans="1:20" ht="12.75">
      <c r="A82">
        <v>28</v>
      </c>
      <c r="B82">
        <v>-19</v>
      </c>
      <c r="C82">
        <v>56</v>
      </c>
      <c r="D82" s="78">
        <v>18.300062205354156</v>
      </c>
      <c r="E82" s="78">
        <v>235.65204661766882</v>
      </c>
      <c r="F82" s="78">
        <v>18.300062205354145</v>
      </c>
      <c r="G82" s="78">
        <v>235.6520466176688</v>
      </c>
      <c r="H82" s="78">
        <v>18.300062205354166</v>
      </c>
      <c r="I82" s="6">
        <v>235.65204661766882</v>
      </c>
      <c r="J82" s="6">
        <v>18.30006220535417</v>
      </c>
      <c r="K82" s="6">
        <v>235.6520466176688</v>
      </c>
      <c r="O82" s="78">
        <f t="shared" si="7"/>
        <v>0</v>
      </c>
      <c r="P82" s="78">
        <f t="shared" si="8"/>
        <v>0</v>
      </c>
      <c r="Q82" s="78">
        <f t="shared" si="9"/>
        <v>0</v>
      </c>
      <c r="R82" s="78">
        <f t="shared" si="10"/>
        <v>0</v>
      </c>
      <c r="S82" s="78">
        <f t="shared" si="11"/>
        <v>0</v>
      </c>
      <c r="T82" s="78">
        <f t="shared" si="12"/>
        <v>0</v>
      </c>
    </row>
    <row r="83" spans="1:20" ht="12.75">
      <c r="A83">
        <v>34</v>
      </c>
      <c r="B83">
        <v>-57</v>
      </c>
      <c r="C83">
        <v>120</v>
      </c>
      <c r="D83" s="78">
        <v>-44.00664093314639</v>
      </c>
      <c r="E83" s="78">
        <v>220.97833368272632</v>
      </c>
      <c r="F83" s="78">
        <v>-44.006640933146386</v>
      </c>
      <c r="G83" s="78">
        <v>220.9783336827263</v>
      </c>
      <c r="H83" s="78">
        <v>-44.00664093314639</v>
      </c>
      <c r="I83" s="6">
        <v>220.9783336827263</v>
      </c>
      <c r="J83" s="6">
        <v>-44.006640933146386</v>
      </c>
      <c r="K83" s="6">
        <v>220.97833368272632</v>
      </c>
      <c r="O83" s="78">
        <f t="shared" si="7"/>
        <v>0</v>
      </c>
      <c r="P83" s="78">
        <f t="shared" si="8"/>
        <v>0</v>
      </c>
      <c r="Q83" s="78">
        <f t="shared" si="9"/>
        <v>0</v>
      </c>
      <c r="R83" s="78">
        <f t="shared" si="10"/>
        <v>0</v>
      </c>
      <c r="S83" s="78">
        <f t="shared" si="11"/>
        <v>0</v>
      </c>
      <c r="T83" s="78">
        <f t="shared" si="12"/>
        <v>0</v>
      </c>
    </row>
    <row r="84" spans="1:20" ht="12.75">
      <c r="A84">
        <v>74</v>
      </c>
      <c r="B84">
        <v>15</v>
      </c>
      <c r="C84">
        <v>133</v>
      </c>
      <c r="D84" s="78">
        <v>3.8539850789418315</v>
      </c>
      <c r="E84" s="78">
        <v>314.9247715472445</v>
      </c>
      <c r="F84" s="78">
        <v>3.8539850789418497</v>
      </c>
      <c r="G84" s="78">
        <v>314.9247715472445</v>
      </c>
      <c r="H84" s="78">
        <v>3.85398507894185</v>
      </c>
      <c r="I84" s="6">
        <v>314.9247715472445</v>
      </c>
      <c r="J84" s="6">
        <v>3.853985078941846</v>
      </c>
      <c r="K84" s="6">
        <v>314.9247715472441</v>
      </c>
      <c r="O84" s="78">
        <f t="shared" si="7"/>
        <v>1.865174681370263E-14</v>
      </c>
      <c r="P84" s="78">
        <f t="shared" si="8"/>
        <v>0</v>
      </c>
      <c r="Q84" s="78">
        <f t="shared" si="9"/>
        <v>0</v>
      </c>
      <c r="R84" s="78">
        <f t="shared" si="10"/>
        <v>0</v>
      </c>
      <c r="S84" s="78">
        <f t="shared" si="11"/>
        <v>3.9968028886505635E-15</v>
      </c>
      <c r="T84" s="78">
        <f t="shared" si="12"/>
        <v>0</v>
      </c>
    </row>
    <row r="85" spans="1:20" ht="12.75">
      <c r="A85">
        <v>84</v>
      </c>
      <c r="B85">
        <v>46</v>
      </c>
      <c r="C85">
        <v>149</v>
      </c>
      <c r="D85" s="78">
        <v>40.78019623506545</v>
      </c>
      <c r="E85" s="78">
        <v>331.80427441474774</v>
      </c>
      <c r="F85" s="78">
        <v>40.780196235065446</v>
      </c>
      <c r="G85" s="78">
        <v>331.8042744147478</v>
      </c>
      <c r="H85" s="78">
        <v>40.780196235065446</v>
      </c>
      <c r="I85" s="6">
        <v>331.80427441474774</v>
      </c>
      <c r="J85" s="6">
        <v>40.780196235065446</v>
      </c>
      <c r="K85" s="6">
        <v>331.80427441474785</v>
      </c>
      <c r="O85" s="78">
        <f t="shared" si="7"/>
        <v>0</v>
      </c>
      <c r="P85" s="78">
        <f t="shared" si="8"/>
        <v>0</v>
      </c>
      <c r="Q85" s="78">
        <f t="shared" si="9"/>
        <v>0</v>
      </c>
      <c r="R85" s="78">
        <f t="shared" si="10"/>
        <v>0</v>
      </c>
      <c r="S85" s="78">
        <f t="shared" si="11"/>
        <v>0</v>
      </c>
      <c r="T85" s="78">
        <f t="shared" si="12"/>
        <v>0</v>
      </c>
    </row>
    <row r="86" spans="1:20" ht="12.75">
      <c r="A86">
        <v>30</v>
      </c>
      <c r="B86">
        <v>59</v>
      </c>
      <c r="C86">
        <v>23</v>
      </c>
      <c r="D86" s="78">
        <v>57.051734975086234</v>
      </c>
      <c r="E86" s="78">
        <v>338.2837886770503</v>
      </c>
      <c r="F86" s="78">
        <v>57.0517349750862</v>
      </c>
      <c r="G86" s="78">
        <v>338.2837886770503</v>
      </c>
      <c r="H86" s="78">
        <v>57.051734975086234</v>
      </c>
      <c r="I86" s="6">
        <v>338.2837886770503</v>
      </c>
      <c r="J86" s="6">
        <v>57.0517349750862</v>
      </c>
      <c r="K86" s="6">
        <v>338.2837886770503</v>
      </c>
      <c r="O86" s="78">
        <f t="shared" si="7"/>
        <v>0</v>
      </c>
      <c r="P86" s="78">
        <f t="shared" si="8"/>
        <v>0</v>
      </c>
      <c r="Q86" s="78">
        <f t="shared" si="9"/>
        <v>0</v>
      </c>
      <c r="R86" s="78">
        <f t="shared" si="10"/>
        <v>0</v>
      </c>
      <c r="S86" s="78">
        <f t="shared" si="11"/>
        <v>0</v>
      </c>
      <c r="T86" s="78">
        <f t="shared" si="12"/>
        <v>0</v>
      </c>
    </row>
    <row r="87" spans="1:20" ht="12.75">
      <c r="A87">
        <v>10</v>
      </c>
      <c r="B87">
        <v>15</v>
      </c>
      <c r="C87">
        <v>41</v>
      </c>
      <c r="D87" s="78">
        <v>49.71714878417807</v>
      </c>
      <c r="E87" s="78">
        <v>281.4452929990463</v>
      </c>
      <c r="F87" s="78">
        <v>49.717148784178065</v>
      </c>
      <c r="G87" s="78">
        <v>281.44529299904644</v>
      </c>
      <c r="H87" s="78">
        <v>49.717148784178065</v>
      </c>
      <c r="I87" s="6">
        <v>281.4452929990464</v>
      </c>
      <c r="J87" s="6">
        <v>49.717148784178065</v>
      </c>
      <c r="K87" s="6">
        <v>281.4452929990464</v>
      </c>
      <c r="O87" s="78">
        <f t="shared" si="7"/>
        <v>0</v>
      </c>
      <c r="P87" s="78">
        <f t="shared" si="8"/>
        <v>0</v>
      </c>
      <c r="Q87" s="78">
        <f t="shared" si="9"/>
        <v>0</v>
      </c>
      <c r="R87" s="78">
        <f t="shared" si="10"/>
        <v>0</v>
      </c>
      <c r="S87" s="78">
        <f t="shared" si="11"/>
        <v>0</v>
      </c>
      <c r="T87" s="78">
        <f t="shared" si="12"/>
        <v>0</v>
      </c>
    </row>
    <row r="88" spans="1:20" ht="12.75">
      <c r="A88">
        <v>18</v>
      </c>
      <c r="B88">
        <v>-69</v>
      </c>
      <c r="C88">
        <v>151</v>
      </c>
      <c r="D88" s="78">
        <v>-35.91520160871207</v>
      </c>
      <c r="E88" s="78">
        <v>192.3876201321764</v>
      </c>
      <c r="F88" s="78">
        <v>-35.91520160871209</v>
      </c>
      <c r="G88" s="78">
        <v>192.3876201321764</v>
      </c>
      <c r="H88" s="78">
        <v>-35.915201608712096</v>
      </c>
      <c r="I88" s="6">
        <v>192.38762013217644</v>
      </c>
      <c r="J88" s="6">
        <v>-35.915201608712124</v>
      </c>
      <c r="K88" s="6">
        <v>192.38762013217644</v>
      </c>
      <c r="O88" s="78">
        <f t="shared" si="7"/>
        <v>0</v>
      </c>
      <c r="P88" s="78">
        <f t="shared" si="8"/>
        <v>0</v>
      </c>
      <c r="Q88" s="78">
        <f t="shared" si="9"/>
        <v>0</v>
      </c>
      <c r="R88" s="78">
        <f t="shared" si="10"/>
        <v>0</v>
      </c>
      <c r="S88" s="78">
        <f t="shared" si="11"/>
        <v>0</v>
      </c>
      <c r="T88" s="78">
        <f t="shared" si="12"/>
        <v>0</v>
      </c>
    </row>
    <row r="89" spans="1:20" ht="12.75">
      <c r="A89">
        <v>17</v>
      </c>
      <c r="B89">
        <v>32</v>
      </c>
      <c r="C89">
        <v>87</v>
      </c>
      <c r="D89" s="78">
        <v>11.383641935052067</v>
      </c>
      <c r="E89" s="78">
        <v>300.2448813265493</v>
      </c>
      <c r="F89" s="78">
        <v>11.383641935052143</v>
      </c>
      <c r="G89" s="78">
        <v>300.24488132654926</v>
      </c>
      <c r="H89" s="78">
        <v>11.383641935052143</v>
      </c>
      <c r="I89" s="6">
        <v>300.24488132654926</v>
      </c>
      <c r="J89" s="6">
        <v>11.383641935052143</v>
      </c>
      <c r="K89" s="6">
        <v>300.24488132654926</v>
      </c>
      <c r="O89" s="78">
        <f t="shared" si="7"/>
        <v>7.638334409421077E-14</v>
      </c>
      <c r="P89" s="78">
        <f t="shared" si="8"/>
        <v>0</v>
      </c>
      <c r="Q89" s="78">
        <f t="shared" si="9"/>
        <v>0</v>
      </c>
      <c r="R89" s="78">
        <f t="shared" si="10"/>
        <v>0</v>
      </c>
      <c r="S89" s="78">
        <f t="shared" si="11"/>
        <v>0</v>
      </c>
      <c r="T89" s="78">
        <f t="shared" si="12"/>
        <v>0</v>
      </c>
    </row>
    <row r="90" spans="1:20" ht="12.75">
      <c r="A90">
        <v>-87</v>
      </c>
      <c r="B90">
        <v>38</v>
      </c>
      <c r="C90">
        <v>234</v>
      </c>
      <c r="D90" s="78">
        <v>-39.72166924114497</v>
      </c>
      <c r="E90" s="78">
        <v>124.01954029658238</v>
      </c>
      <c r="F90" s="78">
        <v>-39.72166924114497</v>
      </c>
      <c r="G90" s="78">
        <v>124.01954029658239</v>
      </c>
      <c r="H90" s="78">
        <v>-39.72166924114497</v>
      </c>
      <c r="I90" s="6">
        <v>124.01954029658242</v>
      </c>
      <c r="J90" s="6">
        <v>-39.721669241144966</v>
      </c>
      <c r="K90" s="6">
        <v>124.0195402965822</v>
      </c>
      <c r="O90" s="78">
        <f t="shared" si="7"/>
        <v>0</v>
      </c>
      <c r="P90" s="78">
        <f t="shared" si="8"/>
        <v>0</v>
      </c>
      <c r="Q90" s="78">
        <f t="shared" si="9"/>
        <v>0</v>
      </c>
      <c r="R90" s="78">
        <f t="shared" si="10"/>
        <v>0</v>
      </c>
      <c r="S90" s="78">
        <f t="shared" si="11"/>
        <v>0</v>
      </c>
      <c r="T90" s="78">
        <f t="shared" si="12"/>
        <v>2.1316282072803006E-13</v>
      </c>
    </row>
    <row r="91" spans="1:20" ht="12.75">
      <c r="A91">
        <v>83</v>
      </c>
      <c r="B91">
        <v>10</v>
      </c>
      <c r="C91">
        <v>63</v>
      </c>
      <c r="D91" s="78">
        <v>13.111147777282135</v>
      </c>
      <c r="E91" s="78">
        <v>244.28406780949734</v>
      </c>
      <c r="F91" s="78">
        <v>13.11114777728213</v>
      </c>
      <c r="G91" s="78">
        <v>244.2840678094974</v>
      </c>
      <c r="H91" s="78">
        <v>13.11114777728213</v>
      </c>
      <c r="I91" s="6">
        <v>244.2840678094974</v>
      </c>
      <c r="J91" s="6">
        <v>13.11114777728213</v>
      </c>
      <c r="K91" s="6">
        <v>244.28406780949743</v>
      </c>
      <c r="O91" s="78">
        <f t="shared" si="7"/>
        <v>0</v>
      </c>
      <c r="P91" s="78">
        <f t="shared" si="8"/>
        <v>0</v>
      </c>
      <c r="Q91" s="78">
        <f t="shared" si="9"/>
        <v>0</v>
      </c>
      <c r="R91" s="78">
        <f t="shared" si="10"/>
        <v>0</v>
      </c>
      <c r="S91" s="78">
        <f t="shared" si="11"/>
        <v>0</v>
      </c>
      <c r="T91" s="78">
        <f t="shared" si="12"/>
        <v>0</v>
      </c>
    </row>
    <row r="92" spans="1:20" ht="12.75">
      <c r="A92">
        <v>46</v>
      </c>
      <c r="B92">
        <v>-4</v>
      </c>
      <c r="C92">
        <v>8</v>
      </c>
      <c r="D92" s="78">
        <v>39.49743754728055</v>
      </c>
      <c r="E92" s="78">
        <v>190.36496941580614</v>
      </c>
      <c r="F92" s="78">
        <v>39.49743754728055</v>
      </c>
      <c r="G92" s="78">
        <v>190.36496941580614</v>
      </c>
      <c r="H92" s="78">
        <v>39.49743754728055</v>
      </c>
      <c r="I92" s="6">
        <v>190.36496941580614</v>
      </c>
      <c r="J92" s="6">
        <v>39.49743754728055</v>
      </c>
      <c r="K92" s="6">
        <v>190.36496941580617</v>
      </c>
      <c r="O92" s="78">
        <f t="shared" si="7"/>
        <v>0</v>
      </c>
      <c r="P92" s="78">
        <f t="shared" si="8"/>
        <v>0</v>
      </c>
      <c r="Q92" s="78">
        <f t="shared" si="9"/>
        <v>0</v>
      </c>
      <c r="R92" s="78">
        <f t="shared" si="10"/>
        <v>0</v>
      </c>
      <c r="S92" s="78">
        <f t="shared" si="11"/>
        <v>0</v>
      </c>
      <c r="T92" s="78">
        <f t="shared" si="12"/>
        <v>0</v>
      </c>
    </row>
    <row r="93" spans="1:20" ht="12.75">
      <c r="A93">
        <v>-50</v>
      </c>
      <c r="B93">
        <v>-48</v>
      </c>
      <c r="C93">
        <v>247</v>
      </c>
      <c r="D93" s="78">
        <v>23.65478416784872</v>
      </c>
      <c r="E93" s="78">
        <v>137.74461255486187</v>
      </c>
      <c r="F93" s="78">
        <v>23.654784167848742</v>
      </c>
      <c r="G93" s="78">
        <v>137.74461255486187</v>
      </c>
      <c r="H93" s="78">
        <v>23.654784167848742</v>
      </c>
      <c r="I93" s="6">
        <v>137.74461255486187</v>
      </c>
      <c r="J93" s="6">
        <v>23.65478416784874</v>
      </c>
      <c r="K93" s="6">
        <v>137.74461255486185</v>
      </c>
      <c r="O93" s="78">
        <f t="shared" si="7"/>
        <v>0</v>
      </c>
      <c r="P93" s="78">
        <f t="shared" si="8"/>
        <v>0</v>
      </c>
      <c r="Q93" s="78">
        <f t="shared" si="9"/>
        <v>0</v>
      </c>
      <c r="R93" s="78">
        <f t="shared" si="10"/>
        <v>0</v>
      </c>
      <c r="S93" s="78">
        <f t="shared" si="11"/>
        <v>0</v>
      </c>
      <c r="T93" s="78">
        <f t="shared" si="12"/>
        <v>0</v>
      </c>
    </row>
    <row r="94" spans="1:20" ht="12.75">
      <c r="A94">
        <v>-71</v>
      </c>
      <c r="B94">
        <v>21</v>
      </c>
      <c r="C94">
        <v>145</v>
      </c>
      <c r="D94" s="78">
        <v>-36.00245726928806</v>
      </c>
      <c r="E94" s="78">
        <v>221.44570169888996</v>
      </c>
      <c r="F94" s="78">
        <v>-36.002457269288065</v>
      </c>
      <c r="G94" s="78">
        <v>221.44570169888996</v>
      </c>
      <c r="H94" s="78">
        <v>-36.00245726928807</v>
      </c>
      <c r="I94" s="6">
        <v>221.44570169889</v>
      </c>
      <c r="J94" s="6">
        <v>-36.00245726928807</v>
      </c>
      <c r="K94" s="6">
        <v>221.44570169888988</v>
      </c>
      <c r="O94" s="78">
        <f t="shared" si="7"/>
        <v>0</v>
      </c>
      <c r="P94" s="78">
        <f t="shared" si="8"/>
        <v>0</v>
      </c>
      <c r="Q94" s="78">
        <f t="shared" si="9"/>
        <v>0</v>
      </c>
      <c r="R94" s="78">
        <f t="shared" si="10"/>
        <v>0</v>
      </c>
      <c r="S94" s="78">
        <f t="shared" si="11"/>
        <v>0</v>
      </c>
      <c r="T94" s="78">
        <f t="shared" si="12"/>
        <v>0</v>
      </c>
    </row>
    <row r="95" spans="1:20" ht="12.75">
      <c r="A95">
        <v>-80</v>
      </c>
      <c r="B95">
        <v>-79</v>
      </c>
      <c r="C95">
        <v>93</v>
      </c>
      <c r="D95" s="78">
        <v>74.79202268037413</v>
      </c>
      <c r="E95" s="78">
        <v>226.58406396241313</v>
      </c>
      <c r="F95" s="78">
        <v>74.79202268037382</v>
      </c>
      <c r="G95" s="78">
        <v>226.5840639624119</v>
      </c>
      <c r="H95" s="78">
        <v>74.79202268037383</v>
      </c>
      <c r="I95" s="6">
        <v>226.5840639624119</v>
      </c>
      <c r="J95" s="6">
        <v>74.79202268037383</v>
      </c>
      <c r="K95" s="6">
        <v>226.5840639624119</v>
      </c>
      <c r="O95" s="78">
        <f t="shared" si="7"/>
        <v>-2.984279490192421E-13</v>
      </c>
      <c r="P95" s="78">
        <f t="shared" si="8"/>
        <v>0</v>
      </c>
      <c r="Q95" s="78">
        <f t="shared" si="9"/>
        <v>-1.2221335055073723E-12</v>
      </c>
      <c r="R95" s="78">
        <f t="shared" si="10"/>
        <v>0</v>
      </c>
      <c r="S95" s="78">
        <f t="shared" si="11"/>
        <v>0</v>
      </c>
      <c r="T95" s="78">
        <f t="shared" si="12"/>
        <v>0</v>
      </c>
    </row>
    <row r="96" spans="1:20" ht="12.75">
      <c r="A96">
        <v>19</v>
      </c>
      <c r="B96">
        <v>-71</v>
      </c>
      <c r="C96">
        <v>283</v>
      </c>
      <c r="D96" s="78">
        <v>-13.802975393786427</v>
      </c>
      <c r="E96" s="78">
        <v>160.93399966045533</v>
      </c>
      <c r="F96" s="78">
        <v>-13.802975393786403</v>
      </c>
      <c r="G96" s="78">
        <v>160.93399966045536</v>
      </c>
      <c r="H96" s="78">
        <v>-13.802975393786395</v>
      </c>
      <c r="I96" s="6">
        <v>160.93399966045533</v>
      </c>
      <c r="J96" s="6">
        <v>-13.802975393786404</v>
      </c>
      <c r="K96" s="6">
        <v>160.93399966045533</v>
      </c>
      <c r="O96" s="78">
        <f t="shared" si="7"/>
        <v>3.197442310920451E-14</v>
      </c>
      <c r="P96" s="78">
        <f t="shared" si="8"/>
        <v>0</v>
      </c>
      <c r="Q96" s="78">
        <f t="shared" si="9"/>
        <v>0</v>
      </c>
      <c r="R96" s="78">
        <f t="shared" si="10"/>
        <v>0</v>
      </c>
      <c r="S96" s="78">
        <f t="shared" si="11"/>
        <v>0</v>
      </c>
      <c r="T96" s="78">
        <f t="shared" si="12"/>
        <v>0</v>
      </c>
    </row>
    <row r="97" spans="1:20" ht="12.75">
      <c r="A97">
        <v>-11</v>
      </c>
      <c r="B97">
        <v>-70</v>
      </c>
      <c r="C97">
        <v>245</v>
      </c>
      <c r="D97" s="78">
        <v>2.1441375588691693</v>
      </c>
      <c r="E97" s="78">
        <v>161.92915644848054</v>
      </c>
      <c r="F97" s="78">
        <v>2.1441375588692253</v>
      </c>
      <c r="G97" s="78">
        <v>161.92915644848054</v>
      </c>
      <c r="H97" s="78">
        <v>2.1441375588692173</v>
      </c>
      <c r="I97" s="6">
        <v>161.92915644848054</v>
      </c>
      <c r="J97" s="6">
        <v>2.144137558869315</v>
      </c>
      <c r="K97" s="6">
        <v>161.9291564484805</v>
      </c>
      <c r="O97" s="78">
        <f t="shared" si="7"/>
        <v>4.796163466380676E-14</v>
      </c>
      <c r="P97" s="78">
        <f t="shared" si="8"/>
        <v>-7.993605777301127E-15</v>
      </c>
      <c r="Q97" s="78">
        <f t="shared" si="9"/>
        <v>0</v>
      </c>
      <c r="R97" s="78">
        <f t="shared" si="10"/>
        <v>0</v>
      </c>
      <c r="S97" s="78">
        <f t="shared" si="11"/>
        <v>-9.769962616701378E-14</v>
      </c>
      <c r="T97" s="78">
        <f t="shared" si="12"/>
        <v>0</v>
      </c>
    </row>
    <row r="98" spans="1:20" ht="12.75">
      <c r="A98">
        <v>-39</v>
      </c>
      <c r="B98">
        <v>-60</v>
      </c>
      <c r="C98">
        <v>27</v>
      </c>
      <c r="D98" s="78">
        <v>63.0280287170515</v>
      </c>
      <c r="E98" s="78">
        <v>210.03179930595115</v>
      </c>
      <c r="F98" s="78">
        <v>63.02802871705146</v>
      </c>
      <c r="G98" s="78">
        <v>210.0317993059511</v>
      </c>
      <c r="H98" s="78">
        <v>63.028028717051434</v>
      </c>
      <c r="I98" s="6">
        <v>210.03179930595113</v>
      </c>
      <c r="J98" s="6">
        <v>63.028028717051434</v>
      </c>
      <c r="K98" s="6">
        <v>210.03179930595113</v>
      </c>
      <c r="O98" s="78">
        <f t="shared" si="7"/>
        <v>-6.394884621840902E-14</v>
      </c>
      <c r="P98" s="78">
        <f t="shared" si="8"/>
        <v>0</v>
      </c>
      <c r="Q98" s="78">
        <f t="shared" si="9"/>
        <v>0</v>
      </c>
      <c r="R98" s="78">
        <f t="shared" si="10"/>
        <v>0</v>
      </c>
      <c r="S98" s="78">
        <f t="shared" si="11"/>
        <v>0</v>
      </c>
      <c r="T98" s="78">
        <f t="shared" si="12"/>
        <v>0</v>
      </c>
    </row>
    <row r="99" spans="1:20" ht="12.75">
      <c r="A99">
        <v>63</v>
      </c>
      <c r="B99">
        <v>-39</v>
      </c>
      <c r="C99">
        <v>59</v>
      </c>
      <c r="D99" s="78">
        <v>-22.2726485189983</v>
      </c>
      <c r="E99" s="78">
        <v>226.04223766895015</v>
      </c>
      <c r="F99" s="78">
        <v>-22.272648518998277</v>
      </c>
      <c r="G99" s="78">
        <v>226.04223766895012</v>
      </c>
      <c r="H99" s="78">
        <v>-22.27264851899827</v>
      </c>
      <c r="I99" s="6">
        <v>226.04223766895012</v>
      </c>
      <c r="J99" s="6">
        <v>-22.272648518998288</v>
      </c>
      <c r="K99" s="6">
        <v>226.04223766895015</v>
      </c>
      <c r="O99" s="78">
        <f t="shared" si="7"/>
        <v>2.842170943040401E-14</v>
      </c>
      <c r="P99" s="78">
        <f t="shared" si="8"/>
        <v>0</v>
      </c>
      <c r="Q99" s="78">
        <f t="shared" si="9"/>
        <v>0</v>
      </c>
      <c r="R99" s="78">
        <f t="shared" si="10"/>
        <v>0</v>
      </c>
      <c r="S99" s="78">
        <f t="shared" si="11"/>
        <v>0</v>
      </c>
      <c r="T99" s="78">
        <f t="shared" si="12"/>
        <v>0</v>
      </c>
    </row>
    <row r="100" spans="1:20" ht="12.75">
      <c r="A100">
        <v>2</v>
      </c>
      <c r="B100">
        <v>-13</v>
      </c>
      <c r="C100">
        <v>140</v>
      </c>
      <c r="D100" s="78">
        <v>-48.921215954792466</v>
      </c>
      <c r="E100" s="78">
        <v>252.39281300047043</v>
      </c>
      <c r="F100" s="78">
        <v>-48.92121595479242</v>
      </c>
      <c r="G100" s="78">
        <v>252.39281300047037</v>
      </c>
      <c r="H100" s="78">
        <v>-48.92121595479247</v>
      </c>
      <c r="I100" s="6">
        <v>252.39281300047043</v>
      </c>
      <c r="J100" s="6">
        <v>-48.9212159547924</v>
      </c>
      <c r="K100" s="6">
        <v>252.39281300047014</v>
      </c>
      <c r="O100" s="78">
        <f t="shared" si="7"/>
        <v>0</v>
      </c>
      <c r="P100" s="78">
        <f t="shared" si="8"/>
        <v>0</v>
      </c>
      <c r="Q100" s="78">
        <f t="shared" si="9"/>
        <v>0</v>
      </c>
      <c r="R100" s="78">
        <f t="shared" si="10"/>
        <v>0</v>
      </c>
      <c r="S100" s="78">
        <f t="shared" si="11"/>
        <v>-7.105427357601002E-14</v>
      </c>
      <c r="T100" s="78">
        <f t="shared" si="12"/>
        <v>2.8421709430404007E-13</v>
      </c>
    </row>
    <row r="101" spans="1:4" ht="12.75">
      <c r="A101">
        <f ca="1">INT(-89+RAND()*178)</f>
        <v>17</v>
      </c>
      <c r="B101">
        <f ca="1">INT(-89+RAND()*179)</f>
        <v>56</v>
      </c>
      <c r="C101">
        <f ca="1">1+INT(RAND()*358)</f>
        <v>92</v>
      </c>
      <c r="D101" s="78" t="s">
        <v>130</v>
      </c>
    </row>
  </sheetData>
  <conditionalFormatting sqref="H1:H6553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scale="3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3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9.421875" style="0" bestFit="1" customWidth="1"/>
    <col min="2" max="2" width="14.00390625" style="0" customWidth="1"/>
    <col min="3" max="3" width="9.421875" style="0" bestFit="1" customWidth="1"/>
    <col min="4" max="4" width="11.7109375" style="0" customWidth="1"/>
    <col min="5" max="5" width="10.7109375" style="0" customWidth="1"/>
    <col min="6" max="6" width="12.57421875" style="0" customWidth="1"/>
    <col min="7" max="7" width="9.8515625" style="0" customWidth="1"/>
    <col min="8" max="8" width="5.57421875" style="0" customWidth="1"/>
    <col min="9" max="9" width="18.421875" style="0" customWidth="1"/>
    <col min="10" max="10" width="12.421875" style="0" customWidth="1"/>
    <col min="11" max="11" width="9.7109375" style="0" bestFit="1" customWidth="1"/>
    <col min="13" max="13" width="9.421875" style="0" bestFit="1" customWidth="1"/>
  </cols>
  <sheetData>
    <row r="1" spans="1:7" ht="12.75">
      <c r="A1">
        <v>39</v>
      </c>
      <c r="B1">
        <v>89.275</v>
      </c>
      <c r="C1">
        <v>167.741666</v>
      </c>
      <c r="D1" s="6">
        <f>I59</f>
        <v>38.2913648808582</v>
      </c>
      <c r="E1" s="6">
        <f>I71</f>
        <v>359.80388076615907</v>
      </c>
      <c r="G1" t="s">
        <v>172</v>
      </c>
    </row>
    <row r="2" ht="12.75">
      <c r="A2" t="s">
        <v>0</v>
      </c>
    </row>
    <row r="3" spans="2:6" ht="12.75">
      <c r="B3" s="1" t="s">
        <v>1</v>
      </c>
      <c r="C3" s="2" t="s">
        <v>2</v>
      </c>
      <c r="E3" t="s">
        <v>3</v>
      </c>
      <c r="F3" t="s">
        <v>4</v>
      </c>
    </row>
    <row r="4" spans="2:6" ht="12.75">
      <c r="B4" s="3">
        <f>A1</f>
        <v>39</v>
      </c>
      <c r="C4" s="4">
        <v>0</v>
      </c>
      <c r="D4" s="1" t="s">
        <v>144</v>
      </c>
      <c r="E4" s="5">
        <f>IF(F$3="rand",F4,B4+C4/60)</f>
        <v>39</v>
      </c>
      <c r="F4" s="5">
        <f ca="1">-90+RAND()*180</f>
        <v>-87.68987503128831</v>
      </c>
    </row>
    <row r="5" spans="2:7" ht="12.75">
      <c r="B5" s="3">
        <f>B1</f>
        <v>89.275</v>
      </c>
      <c r="C5" s="4">
        <v>0</v>
      </c>
      <c r="D5" s="1" t="s">
        <v>5</v>
      </c>
      <c r="E5" s="5">
        <f>IF(F$3="rand",F5,B5+C5/60)</f>
        <v>89.275</v>
      </c>
      <c r="F5" s="5">
        <f ca="1">-90+RAND()*180</f>
        <v>-37.31042956267501</v>
      </c>
      <c r="G5" s="6"/>
    </row>
    <row r="6" spans="2:7" ht="12.75">
      <c r="B6" s="3">
        <f>C1</f>
        <v>167.741666</v>
      </c>
      <c r="C6" s="4">
        <v>0</v>
      </c>
      <c r="D6" s="1" t="s">
        <v>6</v>
      </c>
      <c r="E6" s="5">
        <f>IF(F$3="rand",F6,B6+C6/60)</f>
        <v>167.741666</v>
      </c>
      <c r="F6" s="5">
        <f ca="1">RAND()*360</f>
        <v>295.0849507607041</v>
      </c>
      <c r="G6" s="6"/>
    </row>
    <row r="7" spans="1:9" ht="12.75">
      <c r="A7" t="s">
        <v>7</v>
      </c>
      <c r="E7" s="5"/>
      <c r="G7" s="6"/>
      <c r="I7" s="7"/>
    </row>
    <row r="8" spans="7:9" ht="12.75">
      <c r="G8" s="6"/>
      <c r="I8" s="1"/>
    </row>
    <row r="9" spans="2:9" ht="12.75">
      <c r="B9" t="s">
        <v>8</v>
      </c>
      <c r="E9" s="1"/>
      <c r="I9" s="1"/>
    </row>
    <row r="10" spans="5:9" ht="12.75">
      <c r="E10" s="1"/>
      <c r="I10" s="1"/>
    </row>
    <row r="11" spans="4:9" ht="12.75">
      <c r="D11" s="8" t="s">
        <v>9</v>
      </c>
      <c r="E11" s="9">
        <f>IF(E6&lt;180,E6,E6-360)</f>
        <v>167.741666</v>
      </c>
      <c r="F11" s="8"/>
      <c r="I11" s="1"/>
    </row>
    <row r="12" spans="4:9" ht="12.75">
      <c r="D12" s="10"/>
      <c r="E12" s="9">
        <f>ABS(E11)</f>
        <v>167.741666</v>
      </c>
      <c r="F12" s="8" t="str">
        <f>IF(E6&lt;180,"W","E")</f>
        <v>W</v>
      </c>
      <c r="G12" t="s">
        <v>183</v>
      </c>
      <c r="H12" s="1"/>
      <c r="I12" s="1"/>
    </row>
    <row r="14" spans="1:7" ht="12.75">
      <c r="A14" t="s">
        <v>10</v>
      </c>
      <c r="B14" t="s">
        <v>11</v>
      </c>
      <c r="D14" s="1" t="s">
        <v>12</v>
      </c>
      <c r="E14" s="11">
        <f>10^5*LOG(1/SIN(PI()/180*($E$12)))</f>
        <v>67300.94753772795</v>
      </c>
      <c r="F14" s="1"/>
      <c r="G14" s="11"/>
    </row>
    <row r="15" spans="6:16" ht="12.75">
      <c r="F15" s="1"/>
      <c r="G15" s="32" t="s">
        <v>147</v>
      </c>
      <c r="H15" s="33"/>
      <c r="I15" s="33"/>
      <c r="J15" s="33"/>
      <c r="K15" s="33"/>
      <c r="L15" s="79"/>
      <c r="P15" t="s">
        <v>184</v>
      </c>
    </row>
    <row r="16" spans="1:12" ht="12.75">
      <c r="A16" t="s">
        <v>13</v>
      </c>
      <c r="B16" t="s">
        <v>14</v>
      </c>
      <c r="D16" s="1" t="s">
        <v>15</v>
      </c>
      <c r="E16" s="11">
        <f>10^5*LOG(1/ABS(COS(PI()/180*($E$5))))</f>
        <v>189779.621537627</v>
      </c>
      <c r="F16" s="1"/>
      <c r="G16" s="34"/>
      <c r="H16" s="35" t="s">
        <v>156</v>
      </c>
      <c r="I16" s="35" t="s">
        <v>157</v>
      </c>
      <c r="J16" s="35" t="s">
        <v>31</v>
      </c>
      <c r="K16" s="35" t="s">
        <v>158</v>
      </c>
      <c r="L16" s="81"/>
    </row>
    <row r="17" spans="7:18" ht="12.75">
      <c r="G17" s="84" t="s">
        <v>148</v>
      </c>
      <c r="H17" s="35"/>
      <c r="I17" s="88">
        <f>ASIN(1/(1/SIN(E12*PI()/180)*1/(COS((E5)*PI()/180))))</f>
        <v>0.0026865494057451843</v>
      </c>
      <c r="J17" s="88">
        <f>I17*180/PI()</f>
        <v>0.1539279424025784</v>
      </c>
      <c r="K17" s="35"/>
      <c r="L17" s="81" t="s">
        <v>149</v>
      </c>
      <c r="P17" t="s">
        <v>148</v>
      </c>
      <c r="R17">
        <f>ASIN(SIN(E11*PI()/180)*COS(E5*PI()/180))</f>
        <v>0.002686549405745184</v>
      </c>
    </row>
    <row r="18" spans="1:12" ht="12.75">
      <c r="A18" t="s">
        <v>16</v>
      </c>
      <c r="B18" t="s">
        <v>17</v>
      </c>
      <c r="E18" s="11">
        <f>10^5*LOG(1/ABS(SIN(PI()/180*ABS($E$5))))</f>
        <v>3.4769356564135494</v>
      </c>
      <c r="G18" s="34" t="s">
        <v>159</v>
      </c>
      <c r="H18" s="35">
        <f>1/SIN(I17)</f>
        <v>372.2251304171549</v>
      </c>
      <c r="I18" s="91"/>
      <c r="J18" s="91"/>
      <c r="K18" s="35">
        <f>LOG(H18)</f>
        <v>2.57080569075355</v>
      </c>
      <c r="L18" s="81" t="s">
        <v>160</v>
      </c>
    </row>
    <row r="19" spans="2:12" ht="12.75">
      <c r="B19" t="s">
        <v>18</v>
      </c>
      <c r="G19" s="34" t="s">
        <v>151</v>
      </c>
      <c r="H19" s="35">
        <f>1/COS(I17)</f>
        <v>1.0000036087847075</v>
      </c>
      <c r="I19" s="91"/>
      <c r="J19" s="91"/>
      <c r="K19" s="35">
        <f>LOG(H19)</f>
        <v>1.5672724568754677E-06</v>
      </c>
      <c r="L19" s="81" t="s">
        <v>155</v>
      </c>
    </row>
    <row r="20" spans="7:20" ht="12.75">
      <c r="G20" s="95" t="s">
        <v>179</v>
      </c>
      <c r="H20" s="35"/>
      <c r="I20" s="91">
        <f>ASIN(1/((1/ABS(SIN(ABS($E$5)*PI()/180)))*COS(I17)))</f>
        <v>1.558431159937238</v>
      </c>
      <c r="J20" s="96">
        <f>IF(AND(E12&gt;90,I20*180/PI()&lt;90),180-I20*180/PI(),I20*180/PI())</f>
        <v>90.70847187391888</v>
      </c>
      <c r="K20" s="35"/>
      <c r="L20" s="81" t="s">
        <v>29</v>
      </c>
      <c r="M20" s="39" t="s">
        <v>178</v>
      </c>
      <c r="P20" t="s">
        <v>103</v>
      </c>
      <c r="R20">
        <f>ASIN(SIN(E5*PI()/180)/COS(R17))</f>
        <v>1.558431159937238</v>
      </c>
      <c r="S20">
        <f>R20*180/PI()</f>
        <v>89.29152812608112</v>
      </c>
      <c r="T20">
        <f>SIGN(S20)*(180-ABS(S20))</f>
        <v>90.70847187391888</v>
      </c>
    </row>
    <row r="21" spans="1:12" ht="12.75">
      <c r="A21" t="s">
        <v>19</v>
      </c>
      <c r="B21" t="s">
        <v>20</v>
      </c>
      <c r="E21">
        <f>E14+E16</f>
        <v>257080.56907535496</v>
      </c>
      <c r="G21" s="34" t="s">
        <v>152</v>
      </c>
      <c r="H21" s="35"/>
      <c r="I21" s="91"/>
      <c r="J21" s="91">
        <f>IF(SIGN(E5)&lt;&gt;SIGN(E4),ABS(E4)+ABS(J20),ABS(E4-J20))</f>
        <v>51.70847187391888</v>
      </c>
      <c r="K21" s="35"/>
      <c r="L21" s="81" t="s">
        <v>175</v>
      </c>
    </row>
    <row r="22" spans="7:12" ht="12.75">
      <c r="G22" s="34" t="s">
        <v>153</v>
      </c>
      <c r="H22" s="35">
        <f>1/COS((J21)*PI()/180)</f>
        <v>1.613780429102834</v>
      </c>
      <c r="I22" s="91"/>
      <c r="J22" s="91"/>
      <c r="K22" s="35">
        <f>LOG(H22)</f>
        <v>0.20784444431668142</v>
      </c>
      <c r="L22" s="81" t="s">
        <v>162</v>
      </c>
    </row>
    <row r="23" spans="1:12" ht="12.75">
      <c r="A23" t="s">
        <v>21</v>
      </c>
      <c r="B23" t="s">
        <v>22</v>
      </c>
      <c r="E23" s="11">
        <f>E18</f>
        <v>3.4769356564135494</v>
      </c>
      <c r="G23" s="34" t="s">
        <v>154</v>
      </c>
      <c r="H23" s="35">
        <f>H19*H22</f>
        <v>1.6137862528889677</v>
      </c>
      <c r="I23" s="91"/>
      <c r="J23" s="91"/>
      <c r="K23" s="35">
        <f>LOG(H23)</f>
        <v>0.2078460115891383</v>
      </c>
      <c r="L23" s="81" t="s">
        <v>40</v>
      </c>
    </row>
    <row r="24" spans="7:19" ht="12.75">
      <c r="G24" s="34" t="s">
        <v>150</v>
      </c>
      <c r="H24" s="35"/>
      <c r="I24" s="91">
        <f>ASIN(1/H23)</f>
        <v>0.6683103922535019</v>
      </c>
      <c r="J24" s="92">
        <f>I24*180/PI()</f>
        <v>38.291364880858204</v>
      </c>
      <c r="K24" s="35"/>
      <c r="L24" s="81" t="s">
        <v>163</v>
      </c>
      <c r="P24" t="s">
        <v>150</v>
      </c>
      <c r="R24">
        <f>ACOS(COS((R17))*COS((T20*PI()/180)-E4*PI()/180))</f>
        <v>0.9024859345413948</v>
      </c>
      <c r="S24">
        <f>R24*180/PI()</f>
        <v>51.7086351191418</v>
      </c>
    </row>
    <row r="25" spans="1:12" ht="12.75">
      <c r="A25" t="s">
        <v>23</v>
      </c>
      <c r="B25" t="s">
        <v>24</v>
      </c>
      <c r="G25" s="34" t="s">
        <v>164</v>
      </c>
      <c r="H25" s="35">
        <f>1/COS(I24)</f>
        <v>1.2740967216676544</v>
      </c>
      <c r="I25" s="91"/>
      <c r="J25" s="91"/>
      <c r="K25" s="35">
        <f>LOG(H25)</f>
        <v>0.1052023982443037</v>
      </c>
      <c r="L25" s="81" t="s">
        <v>163</v>
      </c>
    </row>
    <row r="26" spans="2:12" ht="12.75">
      <c r="B26" t="s">
        <v>25</v>
      </c>
      <c r="C26" s="13">
        <f>ASIN(1/10^(E21/10^5))*180/PI()</f>
        <v>0.1539279424025784</v>
      </c>
      <c r="D26" t="s">
        <v>26</v>
      </c>
      <c r="E26" s="11">
        <f>(10^5*LOG(ABS(1/COS($C$26*PI()/180))))</f>
        <v>0.15672724568754676</v>
      </c>
      <c r="G26" s="34" t="s">
        <v>165</v>
      </c>
      <c r="H26" s="35">
        <f>H18/H25</f>
        <v>292.14825223783055</v>
      </c>
      <c r="I26" s="91"/>
      <c r="J26" s="91"/>
      <c r="K26" s="35">
        <f>LOG(H26)</f>
        <v>2.465603292509246</v>
      </c>
      <c r="L26" s="81"/>
    </row>
    <row r="27" spans="7:19" ht="12.75">
      <c r="G27" s="97" t="s">
        <v>180</v>
      </c>
      <c r="H27" s="49"/>
      <c r="I27" s="91">
        <f>ASIN(1/H26)</f>
        <v>0.0034229263570129693</v>
      </c>
      <c r="J27" s="93">
        <f>IF(AND(ABS(E4)&gt;J20,I27*180/PI()&lt;90),180-I27*180/PI(),I27*180/PI())</f>
        <v>0.1961192338409332</v>
      </c>
      <c r="K27" s="49"/>
      <c r="L27" s="72"/>
      <c r="M27" s="39" t="s">
        <v>178</v>
      </c>
      <c r="P27" t="s">
        <v>65</v>
      </c>
      <c r="R27">
        <f>ASIN(SIN(R17)/SIN(R24))</f>
        <v>0.003422926357012968</v>
      </c>
      <c r="S27">
        <f>R27*180/PI()</f>
        <v>0.19611923384093313</v>
      </c>
    </row>
    <row r="28" spans="1:11" ht="12.75">
      <c r="A28" t="s">
        <v>27</v>
      </c>
      <c r="B28" t="s">
        <v>28</v>
      </c>
      <c r="E28" s="11">
        <f>E23-E26</f>
        <v>3.3202084107260026</v>
      </c>
      <c r="J28" s="6"/>
      <c r="K28" s="86" t="str">
        <f>IF(AND($E$4&gt;0,$E$11&lt;0),$J$27,"-")</f>
        <v>-</v>
      </c>
    </row>
    <row r="29" spans="9:14" ht="12.75">
      <c r="I29" t="s">
        <v>166</v>
      </c>
      <c r="J29" s="88">
        <f>1/SIN((180-J27)*PI()/180)</f>
        <v>292.14825223782503</v>
      </c>
      <c r="K29" s="87" t="str">
        <f>IF(AND($E$4&lt;0,$E$11&lt;0),180-$J$27,"-")</f>
        <v>-</v>
      </c>
      <c r="M29" t="str">
        <f>IF(AND($E$4&gt;0,$E$6&gt;180),ABS(K28),"-")</f>
        <v>-</v>
      </c>
      <c r="N29" t="s">
        <v>121</v>
      </c>
    </row>
    <row r="30" spans="1:14" ht="12.75">
      <c r="A30" t="s">
        <v>29</v>
      </c>
      <c r="B30" t="s">
        <v>30</v>
      </c>
      <c r="E30" s="6">
        <f>IF(E12&gt;90,180-ASIN(1/10^(E28/10^5))*180/PI(),ASIN(1/10^(E28/10^5))*180/PI())</f>
        <v>90.70847187391888</v>
      </c>
      <c r="F30" t="s">
        <v>31</v>
      </c>
      <c r="G30" s="8" t="s">
        <v>135</v>
      </c>
      <c r="I30" s="85" t="s">
        <v>167</v>
      </c>
      <c r="J30" s="91"/>
      <c r="K30" s="87" t="str">
        <f>IF(AND($E$4&lt;0,$E$11&gt;0),180+$J$27,"-")</f>
        <v>-</v>
      </c>
      <c r="L30" s="35"/>
      <c r="M30">
        <f>IF(AND($E$4&gt;0,$E$6&lt;180),360-ABS(J27),"-")</f>
        <v>359.80388076615907</v>
      </c>
      <c r="N30" t="s">
        <v>122</v>
      </c>
    </row>
    <row r="31" spans="9:14" ht="12.75">
      <c r="I31" s="47" t="s">
        <v>169</v>
      </c>
      <c r="J31" s="91">
        <f>180-J27</f>
        <v>179.80388076615907</v>
      </c>
      <c r="K31" s="88">
        <f>IF(AND($E$4&gt;0,$E$11&gt;0),360-$J$27,"-")</f>
        <v>359.80388076615907</v>
      </c>
      <c r="L31" s="35"/>
      <c r="M31" s="12" t="str">
        <f>IF(AND($E$4&lt;0,$E$6&gt;180),180-ABS(J$27),"-")</f>
        <v>-</v>
      </c>
      <c r="N31" t="s">
        <v>123</v>
      </c>
    </row>
    <row r="32" spans="1:14" ht="12.75">
      <c r="A32" t="s">
        <v>32</v>
      </c>
      <c r="B32" t="s">
        <v>33</v>
      </c>
      <c r="E32" s="6">
        <f>E4</f>
        <v>39</v>
      </c>
      <c r="F32" t="s">
        <v>31</v>
      </c>
      <c r="I32" s="35"/>
      <c r="J32" s="35"/>
      <c r="K32" s="89">
        <f>MAX(K28:K31)</f>
        <v>359.80388076615907</v>
      </c>
      <c r="L32" s="35"/>
      <c r="M32" t="str">
        <f>IF(AND($E$4&lt;0,$E$6&lt;180),180+ABS(J$27),"-")</f>
        <v>-</v>
      </c>
      <c r="N32" t="s">
        <v>124</v>
      </c>
    </row>
    <row r="33" spans="9:13" ht="12.75">
      <c r="I33" s="35"/>
      <c r="J33" s="35"/>
      <c r="K33" s="90" t="s">
        <v>170</v>
      </c>
      <c r="L33" s="35"/>
      <c r="M33">
        <f>MAX(M29:M32)</f>
        <v>359.80388076615907</v>
      </c>
    </row>
    <row r="34" spans="1:13" ht="12.75">
      <c r="A34" t="s">
        <v>34</v>
      </c>
      <c r="B34" t="s">
        <v>35</v>
      </c>
      <c r="E34" s="6">
        <f>IF(OR(AND(E4&gt;0,E5&gt;0),AND(E4&lt;0,E5&lt;0)),ABS(ABS(E30)-ABS(E32)),ABS(ABS(E30)+ABS(E32)))</f>
        <v>51.70847187391888</v>
      </c>
      <c r="F34" t="s">
        <v>31</v>
      </c>
      <c r="G34" s="14"/>
      <c r="I34" s="35"/>
      <c r="J34" s="35"/>
      <c r="K34" s="35"/>
      <c r="L34" s="35"/>
      <c r="M34" s="35"/>
    </row>
    <row r="35" spans="2:13" ht="12.75">
      <c r="B35" t="s">
        <v>161</v>
      </c>
      <c r="E35" s="6"/>
      <c r="G35" s="14"/>
      <c r="I35" s="35"/>
      <c r="J35" s="35"/>
      <c r="K35" s="35"/>
      <c r="L35" s="35"/>
      <c r="M35" s="35"/>
    </row>
    <row r="36" spans="9:13" ht="12.75">
      <c r="I36" s="47"/>
      <c r="J36" s="35"/>
      <c r="K36" s="35"/>
      <c r="L36" s="35"/>
      <c r="M36" s="35"/>
    </row>
    <row r="37" spans="1:5" ht="12.75">
      <c r="A37" t="s">
        <v>36</v>
      </c>
      <c r="B37" t="s">
        <v>37</v>
      </c>
      <c r="E37" s="11">
        <f>(10^5*LOG(1/ABS(COS(PI()/180*E34))))</f>
        <v>20784.444431668144</v>
      </c>
    </row>
    <row r="39" spans="1:5" ht="12.75">
      <c r="A39" t="s">
        <v>38</v>
      </c>
      <c r="B39" t="s">
        <v>39</v>
      </c>
      <c r="E39" s="11">
        <f>E26</f>
        <v>0.15672724568754676</v>
      </c>
    </row>
    <row r="41" spans="1:5" ht="12.75">
      <c r="A41" t="s">
        <v>40</v>
      </c>
      <c r="B41" t="s">
        <v>41</v>
      </c>
      <c r="E41" s="11">
        <f>E37+E39</f>
        <v>20784.601158913832</v>
      </c>
    </row>
    <row r="43" spans="1:5" ht="12.75">
      <c r="A43" t="s">
        <v>42</v>
      </c>
      <c r="B43" t="s">
        <v>43</v>
      </c>
      <c r="E43">
        <f>E21</f>
        <v>257080.56907535496</v>
      </c>
    </row>
    <row r="45" spans="1:2" ht="12.75">
      <c r="A45" t="s">
        <v>44</v>
      </c>
      <c r="B45" t="s">
        <v>45</v>
      </c>
    </row>
    <row r="46" spans="2:10" ht="12.75">
      <c r="B46" t="s">
        <v>25</v>
      </c>
      <c r="C46" s="6">
        <f>ASIN(1/10^(E41/10^5))*180/PI()</f>
        <v>38.2913648808582</v>
      </c>
      <c r="D46" s="15" t="s">
        <v>15</v>
      </c>
      <c r="E46" s="11">
        <f>(10^5*LOG(ABS(1/COS($C$46*PI()/180))))</f>
        <v>10520.239824430364</v>
      </c>
      <c r="F46" t="s">
        <v>46</v>
      </c>
      <c r="G46" s="16" t="str">
        <f>TEXT(INT(C46),"00")&amp;CHAR(176)&amp;TEXT((C46-INT(C46))*60,"00.0")&amp;CHAR(34)</f>
        <v>38°17.5"</v>
      </c>
      <c r="H46" s="16" t="s">
        <v>47</v>
      </c>
      <c r="I46" s="17" t="s">
        <v>48</v>
      </c>
      <c r="J46" s="18">
        <f>ASIN(SIN(E4*PI()/180)*SIN(E5*PI()/180)+COS(E4*PI()/180)*COS(E5*PI()/180)*COS(E6*PI()/180))*180/PI()</f>
        <v>38.291364880858104</v>
      </c>
    </row>
    <row r="47" spans="9:10" ht="12.75">
      <c r="I47" s="19" t="s">
        <v>49</v>
      </c>
      <c r="J47" s="18">
        <f>180+180/PI()*ATAN2(COS(E6*PI()/180)*SIN(E4*PI()/180)-TAN(E5*PI()/180)*COS(E4*PI()/180),SIN(E6*PI()/180))</f>
        <v>359.80388076615907</v>
      </c>
    </row>
    <row r="48" spans="1:5" ht="12.75">
      <c r="A48" t="s">
        <v>50</v>
      </c>
      <c r="B48" t="s">
        <v>51</v>
      </c>
      <c r="E48" s="11">
        <f>E43-E46</f>
        <v>246560.32925092458</v>
      </c>
    </row>
    <row r="49" spans="5:11" ht="12.75">
      <c r="E49" s="11"/>
      <c r="J49" s="20"/>
      <c r="K49" s="16"/>
    </row>
    <row r="50" spans="1:10" ht="12.75">
      <c r="A50" s="21" t="s">
        <v>52</v>
      </c>
      <c r="E50" s="22"/>
      <c r="J50" s="20"/>
    </row>
    <row r="51" spans="2:5" ht="12.75">
      <c r="B51" t="s">
        <v>173</v>
      </c>
      <c r="D51" s="6">
        <f>ASIN(1/10^(E48/10^5))*180/PI()</f>
        <v>0.19611923384093305</v>
      </c>
      <c r="E51" s="6"/>
    </row>
    <row r="52" ht="12.75">
      <c r="F52" t="s">
        <v>177</v>
      </c>
    </row>
    <row r="53" spans="1:9" ht="12.75">
      <c r="A53" t="s">
        <v>53</v>
      </c>
      <c r="B53" t="s">
        <v>54</v>
      </c>
      <c r="D53">
        <f>IF(AND(SIGN(E5)=SIGN(E4),ABS(E30)&gt;ABS(E4)),ASIN(1/10^(E48/10^5)),PI()-ASIN(1/10^(E48/10^5)))</f>
        <v>0.0034229263570129667</v>
      </c>
      <c r="E53" s="67">
        <f>D53*180/PI()</f>
        <v>0.19611923384093305</v>
      </c>
      <c r="G53" s="16" t="str">
        <f>TEXT(INT(E53),"00")&amp;CHAR(176)&amp;TEXT((E53-INT(E53))*60,"00.0")&amp;CHAR(34)</f>
        <v>00°11.8"</v>
      </c>
      <c r="H53" s="16" t="s">
        <v>55</v>
      </c>
      <c r="I53" s="6"/>
    </row>
    <row r="55" spans="1:8" ht="12.75">
      <c r="A55" t="s">
        <v>56</v>
      </c>
      <c r="D55" t="s">
        <v>57</v>
      </c>
      <c r="E55" t="str">
        <f>IF(AND($E$4&gt;0,$E$11&lt;0),$E$53,"-")</f>
        <v>-</v>
      </c>
      <c r="G55" s="16" t="str">
        <f>TEXT(INT(E59),"00")&amp;CHAR(176)&amp;TEXT((E59-INT(E59))*60,"00.0")&amp;CHAR(34)</f>
        <v>359°48.2"</v>
      </c>
      <c r="H55" s="16" t="s">
        <v>58</v>
      </c>
    </row>
    <row r="56" spans="5:10" ht="12.75">
      <c r="E56" t="str">
        <f>IF(AND($E$4&lt;0,$E$11&lt;0),180-$E$53,"-")</f>
        <v>-</v>
      </c>
      <c r="I56" s="32">
        <f>IF(AND(OR(AND(E5&gt;0,E4&gt;0),AND(E5&lt;0,E4&lt;0)),E30&gt;90+ABS(E4)),-1*C46,C46)</f>
        <v>38.2913648808582</v>
      </c>
      <c r="J56" s="79" t="s">
        <v>145</v>
      </c>
    </row>
    <row r="57" spans="5:10" ht="12.75">
      <c r="E57" s="6" t="str">
        <f>IF(AND($E$4&lt;0,$E$11&gt;0),180+$E$53,"-")</f>
        <v>-</v>
      </c>
      <c r="I57" s="83">
        <f>IF(AND(OR(AND(E5&lt;0,E4&gt;0),AND(E5&gt;0,E4&lt;0)),E30&gt;90-ABS(E4)),-1*C46,C46)</f>
        <v>38.2913648808582</v>
      </c>
      <c r="J57" s="81"/>
    </row>
    <row r="58" spans="5:10" ht="12.75">
      <c r="E58" s="6">
        <f>IF(AND($E$4&gt;0,$E$11&gt;0),360-$E$53,"-")</f>
        <v>359.80388076615907</v>
      </c>
      <c r="I58" s="34" t="s">
        <v>143</v>
      </c>
      <c r="J58" s="81" t="s">
        <v>136</v>
      </c>
    </row>
    <row r="59" spans="5:11" ht="12.75">
      <c r="E59" s="16">
        <f>MAX(E55:E58)</f>
        <v>359.80388076615907</v>
      </c>
      <c r="I59" s="94">
        <f>MIN(I56:I58)</f>
        <v>38.2913648808582</v>
      </c>
      <c r="J59" s="72"/>
      <c r="K59" t="s">
        <v>142</v>
      </c>
    </row>
    <row r="60" ht="12.75">
      <c r="K60" t="s">
        <v>146</v>
      </c>
    </row>
    <row r="61" ht="12.75">
      <c r="D61" t="s">
        <v>174</v>
      </c>
    </row>
    <row r="62" ht="12.75">
      <c r="E62" t="str">
        <f>IF(AND($E$4&gt;0,$E$6&gt;180),$I$65,"-")</f>
        <v>-</v>
      </c>
    </row>
    <row r="63" spans="5:10" ht="12.75">
      <c r="E63">
        <f>IF(AND($E$4&gt;0,$E$6&lt;180),360-$I$65,"-")</f>
        <v>359.80388076615907</v>
      </c>
      <c r="H63" s="1" t="s">
        <v>171</v>
      </c>
      <c r="I63" s="32" t="s">
        <v>168</v>
      </c>
      <c r="J63" s="79"/>
    </row>
    <row r="64" spans="5:10" ht="12.75">
      <c r="E64" s="6" t="str">
        <f>IF(AND($E$4&lt;0,$E$6&gt;180),180-$I$65,"-")</f>
        <v>-</v>
      </c>
      <c r="H64" s="1"/>
      <c r="I64" s="80" t="s">
        <v>176</v>
      </c>
      <c r="J64" s="81"/>
    </row>
    <row r="65" spans="5:10" ht="12.75">
      <c r="E65" s="6" t="str">
        <f>IF(AND($E$4&lt;0,$E$6&lt;180),180+$I$65,"-")</f>
        <v>-</v>
      </c>
      <c r="I65" s="6">
        <f>IF(AND(SIGN(E5)&lt;&gt;SIGN(E4),E30&gt;(90-ABS(E4)),E30&gt;(180-ABS(E4))),180-E53,E53)</f>
        <v>0.19611923384093305</v>
      </c>
      <c r="J65" s="83" t="str">
        <f>IF(AND(SIGN(E5)&lt;&gt;SIGN(E4),E30&gt;(90-ABS(E4)),E30&gt;(180-ABS(E4))),"true","false")</f>
        <v>false</v>
      </c>
    </row>
    <row r="66" spans="5:10" ht="12.75">
      <c r="E66" s="16">
        <f>MAX(E62:E65)</f>
        <v>359.80388076615907</v>
      </c>
      <c r="I66" s="34"/>
      <c r="J66" s="81"/>
    </row>
    <row r="67" spans="9:10" ht="12.75">
      <c r="I67" s="34" t="str">
        <f>IF(AND($E$4&gt;0,$E$11&lt;0),$I$65,"-")</f>
        <v>-</v>
      </c>
      <c r="J67" s="81"/>
    </row>
    <row r="68" spans="9:10" ht="12.75">
      <c r="I68" s="34" t="str">
        <f>IF(AND($E$4&lt;0,$E$11&lt;0),180-$I$65,"-")</f>
        <v>-</v>
      </c>
      <c r="J68" s="81"/>
    </row>
    <row r="69" spans="9:10" ht="12.75">
      <c r="I69" s="6" t="str">
        <f>IF(AND($E$4&lt;0,$E$11&gt;0),180+$I$65,"-")</f>
        <v>-</v>
      </c>
      <c r="J69" s="81"/>
    </row>
    <row r="70" spans="9:10" ht="12.75">
      <c r="I70" s="82">
        <f>IF(AND($E$4&gt;0,$E$11&gt;0),360-$I$65,"-")</f>
        <v>359.80388076615907</v>
      </c>
      <c r="J70" s="81"/>
    </row>
    <row r="71" spans="9:10" ht="12.75">
      <c r="I71" s="94">
        <f>MAX(I67:I70)</f>
        <v>359.80388076615907</v>
      </c>
      <c r="J71" s="72"/>
    </row>
    <row r="73" ht="12.75">
      <c r="I73" t="s">
        <v>282</v>
      </c>
    </row>
  </sheetData>
  <printOptions/>
  <pageMargins left="0.75" right="0.75" top="1" bottom="1" header="0.5" footer="0.5"/>
  <pageSetup fitToHeight="1" fitToWidth="1" horizontalDpi="300" verticalDpi="3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5"/>
  <sheetViews>
    <sheetView zoomScale="75" zoomScaleNormal="75" workbookViewId="0" topLeftCell="A1">
      <selection activeCell="J2" sqref="J2"/>
    </sheetView>
  </sheetViews>
  <sheetFormatPr defaultColWidth="9.140625" defaultRowHeight="12.75"/>
  <cols>
    <col min="1" max="1" width="8.00390625" style="0" customWidth="1"/>
    <col min="2" max="2" width="28.8515625" style="0" customWidth="1"/>
    <col min="3" max="3" width="11.28125" style="0" customWidth="1"/>
    <col min="4" max="4" width="9.28125" style="0" customWidth="1"/>
    <col min="5" max="5" width="9.57421875" style="0" customWidth="1"/>
    <col min="6" max="6" width="7.7109375" style="0" customWidth="1"/>
    <col min="7" max="7" width="9.8515625" style="0" customWidth="1"/>
    <col min="8" max="8" width="6.8515625" style="0" customWidth="1"/>
    <col min="9" max="9" width="11.00390625" style="0" customWidth="1"/>
    <col min="10" max="10" width="12.140625" style="0" customWidth="1"/>
    <col min="11" max="11" width="12.421875" style="2" customWidth="1"/>
    <col min="12" max="12" width="12.421875" style="0" customWidth="1"/>
  </cols>
  <sheetData>
    <row r="1" spans="1:5" ht="12.75">
      <c r="A1">
        <v>39</v>
      </c>
      <c r="B1">
        <v>89.275</v>
      </c>
      <c r="C1">
        <v>167.741666</v>
      </c>
      <c r="D1" s="6">
        <f>I2</f>
        <v>38.291364880858104</v>
      </c>
      <c r="E1" s="6">
        <f>IF(D1&lt;0,K41,H41)</f>
        <v>359.80388076615907</v>
      </c>
    </row>
    <row r="2" spans="1:11" ht="12.75">
      <c r="A2" t="s">
        <v>59</v>
      </c>
      <c r="B2" t="s">
        <v>60</v>
      </c>
      <c r="C2" s="1" t="s">
        <v>137</v>
      </c>
      <c r="D2" s="23">
        <f>IF(B4="rand",E2,F2)</f>
        <v>39</v>
      </c>
      <c r="E2" s="23">
        <f ca="1">INT(-90+RAND()*180)</f>
        <v>86</v>
      </c>
      <c r="F2" s="23">
        <f>A1</f>
        <v>39</v>
      </c>
      <c r="G2" t="s">
        <v>61</v>
      </c>
      <c r="H2" s="24" t="s">
        <v>62</v>
      </c>
      <c r="I2" s="25">
        <f>F29</f>
        <v>38.291364880858104</v>
      </c>
      <c r="J2" s="25" t="str">
        <f>"="&amp;TEXT(INT(I2),0)&amp;CHAR(176)&amp;TEXT((I2-INT(I2))*60,"00.0")&amp;CHAR(146)</f>
        <v>=38°17.5’</v>
      </c>
      <c r="K2" s="26"/>
    </row>
    <row r="3" spans="2:13" ht="12.75">
      <c r="B3" t="s">
        <v>63</v>
      </c>
      <c r="C3" s="1" t="s">
        <v>64</v>
      </c>
      <c r="D3" s="23">
        <f>IF(B4="rand",E3,F3)</f>
        <v>167.741666</v>
      </c>
      <c r="E3" s="23">
        <f ca="1">INT(RAND()*360)</f>
        <v>320</v>
      </c>
      <c r="F3">
        <f>C1</f>
        <v>167.741666</v>
      </c>
      <c r="H3" s="27" t="s">
        <v>65</v>
      </c>
      <c r="I3" s="28">
        <f>IF(D2&lt;90,G37,G37)</f>
        <v>0.19611923384093188</v>
      </c>
      <c r="J3" s="29" t="s">
        <v>66</v>
      </c>
      <c r="K3" s="30">
        <f>H41</f>
        <v>359.80388076615907</v>
      </c>
      <c r="M3" s="31">
        <f>K3</f>
        <v>359.80388076615907</v>
      </c>
    </row>
    <row r="4" spans="2:13" ht="12.75">
      <c r="B4" s="1" t="s">
        <v>4</v>
      </c>
      <c r="C4" s="1" t="s">
        <v>138</v>
      </c>
      <c r="D4" s="23">
        <f>IF(B4="rand",E4,F4+G4/60)</f>
        <v>89.275</v>
      </c>
      <c r="E4" s="23">
        <f ca="1">INT(-90+RAND()*180)</f>
        <v>-68</v>
      </c>
      <c r="F4" s="23">
        <f>B1</f>
        <v>89.275</v>
      </c>
      <c r="G4" s="23">
        <v>0</v>
      </c>
      <c r="H4" t="s">
        <v>67</v>
      </c>
      <c r="M4" s="31"/>
    </row>
    <row r="5" spans="2:6" ht="12.75">
      <c r="B5" s="1"/>
      <c r="C5" s="1"/>
      <c r="D5" t="s">
        <v>3</v>
      </c>
      <c r="E5" t="s">
        <v>68</v>
      </c>
      <c r="F5" t="s">
        <v>69</v>
      </c>
    </row>
    <row r="6" spans="2:11" ht="12.75">
      <c r="B6" s="1" t="s">
        <v>70</v>
      </c>
      <c r="C6" s="23">
        <f>D3</f>
        <v>167.741666</v>
      </c>
      <c r="D6" s="23"/>
      <c r="E6" s="23"/>
      <c r="G6" s="32"/>
      <c r="H6" s="33"/>
      <c r="I6" s="33" t="s">
        <v>71</v>
      </c>
      <c r="J6" s="33"/>
      <c r="K6" s="26"/>
    </row>
    <row r="7" spans="3:14" ht="12.75">
      <c r="C7" s="1">
        <f>IF(AND(C6&lt;90),C6,0)</f>
        <v>0</v>
      </c>
      <c r="D7" s="23"/>
      <c r="E7" s="23"/>
      <c r="G7" s="34"/>
      <c r="H7" s="35"/>
      <c r="I7" s="35" t="s">
        <v>72</v>
      </c>
      <c r="J7" s="36">
        <f>ASIN(COS(D2*PI()/180)*(SIN(C11*PI()/180)))</f>
        <v>0.16576154557299372</v>
      </c>
      <c r="K7" s="37"/>
      <c r="M7" s="38">
        <f>LOG(1/COS(J7))</f>
        <v>0.0059940563598402845</v>
      </c>
      <c r="N7" s="39" t="s">
        <v>73</v>
      </c>
    </row>
    <row r="8" spans="2:14" ht="12.75">
      <c r="B8" s="1"/>
      <c r="C8" s="1">
        <f>IF(AND(C6&gt;90,C6&lt;180),180-C6,0)</f>
        <v>12.25833399999999</v>
      </c>
      <c r="D8" s="23"/>
      <c r="E8" s="23"/>
      <c r="G8" s="34" t="s">
        <v>74</v>
      </c>
      <c r="H8" s="35"/>
      <c r="I8" s="35" t="s">
        <v>75</v>
      </c>
      <c r="J8" s="36">
        <f>ATAN((1/(TAN(D2*PI()/180))*COS(C11*PI()/180)))</f>
        <v>-0.8788119413732618</v>
      </c>
      <c r="K8" s="40">
        <f>IF(OR(AND($C6&gt;0,$C6&lt;90),AND($C6&gt;270,$C6&lt;360)),$D2/ABS($D2)*ABS(J8),-1*$D2/ABS($D2)*ABS(J8))</f>
        <v>-0.8788119413732618</v>
      </c>
      <c r="L8" s="41" t="s">
        <v>76</v>
      </c>
      <c r="M8" s="42">
        <f>J8*180/PI()</f>
        <v>-50.352215226386235</v>
      </c>
      <c r="N8" s="39" t="s">
        <v>77</v>
      </c>
    </row>
    <row r="9" spans="3:14" ht="12.75">
      <c r="C9" s="1">
        <f>IF(AND(C6&gt;180,C6&lt;270),C6-180,0)</f>
        <v>0</v>
      </c>
      <c r="D9" s="23"/>
      <c r="E9" s="23"/>
      <c r="G9" s="34" t="str">
        <f>IF(AND($D$2&gt;0,$C$6&gt;180),ABS(K12),"-")</f>
        <v>-</v>
      </c>
      <c r="H9" s="35"/>
      <c r="I9" s="35" t="s">
        <v>78</v>
      </c>
      <c r="J9" s="36">
        <f>ATAN(1/(SIN(D2*PI()/180)*TAN(C11*PI()/180)))</f>
        <v>-1.4349043337832175</v>
      </c>
      <c r="K9" s="40">
        <f>IF(OR(AND($C6&gt;0,$C6&lt;90),AND($C6&gt;270,$C6&lt;360)),$D2/ABS($D2)*ABS(J9),-1*$D2/ABS($D2)*ABS(J9))</f>
        <v>-1.4349043337832175</v>
      </c>
      <c r="L9" s="41" t="s">
        <v>76</v>
      </c>
      <c r="M9" s="42">
        <f>J9*180/PI()</f>
        <v>-82.21396233080951</v>
      </c>
      <c r="N9" s="39" t="s">
        <v>77</v>
      </c>
    </row>
    <row r="10" spans="2:14" ht="12.75">
      <c r="B10" s="1"/>
      <c r="C10" s="1">
        <f>IF(AND(C6&gt;270,C6&lt;360),360-C6,0)</f>
        <v>0</v>
      </c>
      <c r="D10" s="23"/>
      <c r="E10" s="23"/>
      <c r="G10" s="34">
        <f>IF(AND($D$2&gt;0,$C$6&lt;180),360-ABS(K12),"-")</f>
        <v>359.80388076615907</v>
      </c>
      <c r="H10" s="35"/>
      <c r="I10" s="35" t="s">
        <v>62</v>
      </c>
      <c r="J10" s="36">
        <f>ASIN(COS(J7)*SIN(D4*PI()/180+K8))</f>
        <v>0.6683103922535001</v>
      </c>
      <c r="K10" s="43">
        <f>J10*180/PI()</f>
        <v>38.291364880858104</v>
      </c>
      <c r="M10" s="42"/>
      <c r="N10" s="39"/>
    </row>
    <row r="11" spans="2:14" ht="12.75">
      <c r="B11" s="1" t="s">
        <v>79</v>
      </c>
      <c r="C11" s="1">
        <f>C13</f>
        <v>167.741666</v>
      </c>
      <c r="D11" s="23" t="s">
        <v>80</v>
      </c>
      <c r="E11" s="23"/>
      <c r="G11" s="44" t="str">
        <f>IF(AND($D$2&lt;0,$C$6&gt;180),180-ABS(K$12),"-")</f>
        <v>-</v>
      </c>
      <c r="H11" s="35"/>
      <c r="I11" s="35" t="s">
        <v>81</v>
      </c>
      <c r="J11" s="36">
        <f>ATAN(1/(SIN(J7)*TAN(K8+D4*PI()/180)))</f>
        <v>1.4383272601402304</v>
      </c>
      <c r="M11" s="45">
        <f>J11*180/PI()</f>
        <v>82.41008156465044</v>
      </c>
      <c r="N11" s="39" t="s">
        <v>77</v>
      </c>
    </row>
    <row r="12" spans="2:14" ht="12.75">
      <c r="B12" s="1"/>
      <c r="C12" s="46">
        <f>IF(C6&lt;180,C6,C6-360)</f>
        <v>167.741666</v>
      </c>
      <c r="D12" s="8" t="s">
        <v>82</v>
      </c>
      <c r="E12" s="23"/>
      <c r="G12" s="34" t="str">
        <f>IF(AND($D$2&lt;0,$C$6&lt;180),180+ABS(K$12),"-")</f>
        <v>-</v>
      </c>
      <c r="H12" s="47"/>
      <c r="I12" s="35" t="s">
        <v>83</v>
      </c>
      <c r="J12" s="36">
        <f>(K9+J11)</f>
        <v>0.003422926357012912</v>
      </c>
      <c r="K12" s="43">
        <f>(K9+J11)*180/PI()</f>
        <v>0.1961192338409299</v>
      </c>
      <c r="M12" s="42"/>
      <c r="N12" s="39"/>
    </row>
    <row r="13" spans="2:14" ht="12.75">
      <c r="B13" s="1"/>
      <c r="C13" s="46">
        <f>ABS(C12)</f>
        <v>167.741666</v>
      </c>
      <c r="D13" s="8" t="str">
        <f>IF(C12&gt;0,"W","E")</f>
        <v>W</v>
      </c>
      <c r="E13" s="23"/>
      <c r="G13" s="48">
        <f>MAX(G9:G12)</f>
        <v>359.80388076615907</v>
      </c>
      <c r="H13" s="29"/>
      <c r="I13" s="49" t="s">
        <v>84</v>
      </c>
      <c r="J13" s="50"/>
      <c r="K13" s="51">
        <f>G13</f>
        <v>359.80388076615907</v>
      </c>
      <c r="M13" s="31">
        <f>K13</f>
        <v>359.80388076615907</v>
      </c>
      <c r="N13" s="39"/>
    </row>
    <row r="14" spans="2:11" ht="12.75">
      <c r="B14" s="1"/>
      <c r="C14" s="1"/>
      <c r="D14" s="23"/>
      <c r="E14" s="23"/>
      <c r="H14" s="1"/>
      <c r="I14" s="35"/>
      <c r="J14" s="36"/>
      <c r="K14" s="52"/>
    </row>
    <row r="15" spans="2:14" ht="12.75">
      <c r="B15" s="1"/>
      <c r="C15" s="1"/>
      <c r="D15" s="23"/>
      <c r="E15" s="23"/>
      <c r="H15" s="1"/>
      <c r="I15" s="32" t="s">
        <v>85</v>
      </c>
      <c r="J15" s="53">
        <f>ASIN(COS(D2*PI()/180)*COS(D4*PI()/180)*COS(C6*PI()/180)+SIN(D2*PI()/180)*SIN(D4*PI()/180))*180/PI()</f>
        <v>38.291364880858104</v>
      </c>
      <c r="K15" s="54" t="s">
        <v>86</v>
      </c>
      <c r="N15" t="s">
        <v>87</v>
      </c>
    </row>
    <row r="16" spans="2:14" ht="12.75">
      <c r="B16" s="1"/>
      <c r="C16" s="23"/>
      <c r="I16" s="55" t="s">
        <v>88</v>
      </c>
      <c r="J16" s="36">
        <f>ACOS((SIN(D4*PI()/180)-SIN(D2*PI()/180)*SIN(J15*PI()/180))/(COS(D2*PI()/180)*COS(J15*PI()/180)))*180/PI()</f>
        <v>0.19611923384033197</v>
      </c>
      <c r="K16" s="56" t="s">
        <v>86</v>
      </c>
      <c r="N16" t="s">
        <v>87</v>
      </c>
    </row>
    <row r="17" spans="1:13" ht="12.75">
      <c r="A17" t="s">
        <v>89</v>
      </c>
      <c r="B17" t="s">
        <v>90</v>
      </c>
      <c r="D17" s="2" t="s">
        <v>75</v>
      </c>
      <c r="E17" s="2" t="s">
        <v>12</v>
      </c>
      <c r="F17" s="2" t="s">
        <v>91</v>
      </c>
      <c r="G17" s="2" t="s">
        <v>78</v>
      </c>
      <c r="H17" s="21"/>
      <c r="I17" s="57" t="s">
        <v>84</v>
      </c>
      <c r="J17" s="58">
        <f>IF(C6&gt;180,J16,360-J16)</f>
        <v>359.8038807661597</v>
      </c>
      <c r="K17" s="59" t="s">
        <v>92</v>
      </c>
      <c r="M17" s="31">
        <f>J17</f>
        <v>359.8038807661597</v>
      </c>
    </row>
    <row r="18" spans="4:10" ht="12.75">
      <c r="D18" s="60">
        <f>ABS((ATAN(1/TAN(D2*PI()/180)*COS(C11*PI()/180))*180/PI()))</f>
        <v>50.352215226386235</v>
      </c>
      <c r="E18" s="61">
        <f>LOG(1/(COS(ASIN(COS(D2*PI()/180)*SIN(C11*PI()/180)))))*10^5</f>
        <v>599.4056359840284</v>
      </c>
      <c r="F18" s="61">
        <f>LOG(ABS(1/(SIN(ASIN(COS(D2*PI()/180)*SIN(C$11*PI()/180))))))*10^3</f>
        <v>782.5068808980294</v>
      </c>
      <c r="G18" s="60">
        <f>ABS(ATAN(1/(SIN(D2*PI()/180)*TAN(C$11*(PI()/180))))*180/PI())</f>
        <v>82.21396233080951</v>
      </c>
      <c r="J18" s="61"/>
    </row>
    <row r="19" spans="4:11" ht="12.75">
      <c r="D19" s="2"/>
      <c r="E19" s="61"/>
      <c r="F19" s="61"/>
      <c r="G19" s="62"/>
      <c r="I19" s="32" t="s">
        <v>93</v>
      </c>
      <c r="J19" s="33"/>
      <c r="K19" s="26"/>
    </row>
    <row r="20" spans="1:14" ht="12.75">
      <c r="A20" t="s">
        <v>94</v>
      </c>
      <c r="B20" t="s">
        <v>95</v>
      </c>
      <c r="D20" s="60">
        <f>IF(OR(AND($C6&gt;0,$C6&lt;90),AND($C6&gt;270,$C6&lt;360)),$D2/ABS($D2)*ABS(D18),-1*$D2/ABS($D2)*ABS(D18))</f>
        <v>-50.352215226386235</v>
      </c>
      <c r="E20" s="61">
        <f>E18</f>
        <v>599.4056359840284</v>
      </c>
      <c r="F20" s="61">
        <f>F18</f>
        <v>782.5068808980294</v>
      </c>
      <c r="G20" s="60">
        <f>IF(OR(AND($C6&gt;0,$C6&lt;90),AND($C6&gt;270,$C6&lt;360)),$D2/ABS($D2)*ABS(G18),-1*$D2/ABS($D2)*ABS(G18))</f>
        <v>-82.21396233080951</v>
      </c>
      <c r="I20" s="34" t="s">
        <v>62</v>
      </c>
      <c r="J20" s="35">
        <f>ASIN(SIN(D4*PI()/180)*SIN(D2*PI()/180)+COS(D4*PI()/180)*COS(C6*PI()/180)*COS(D2*PI()/180))</f>
        <v>0.6683103922535001</v>
      </c>
      <c r="K20" s="43">
        <f>J20*180/PI()</f>
        <v>38.291364880858104</v>
      </c>
      <c r="N20" t="s">
        <v>87</v>
      </c>
    </row>
    <row r="21" spans="9:14" ht="12.75">
      <c r="I21" s="34" t="s">
        <v>65</v>
      </c>
      <c r="J21" s="35">
        <f>ACOS((SIN(D4*PI()/180)*COS(D2*PI()/180)-(COS(D4*PI()/180)*COS(C6*PI()/180)*SIN(D2*PI()/180)))/COS(J20))</f>
        <v>0.003422926357067313</v>
      </c>
      <c r="K21" s="36">
        <f>J21*180/PI()</f>
        <v>0.19611923384404686</v>
      </c>
      <c r="N21" t="s">
        <v>87</v>
      </c>
    </row>
    <row r="22" spans="1:13" ht="12.75">
      <c r="A22" t="s">
        <v>96</v>
      </c>
      <c r="B22" t="s">
        <v>97</v>
      </c>
      <c r="C22" s="1" t="s">
        <v>98</v>
      </c>
      <c r="D22" s="60">
        <f>D4+D20</f>
        <v>38.92278477361377</v>
      </c>
      <c r="E22" s="5" t="str">
        <f>"="&amp;TEXT(D22/ABS(D22)*INT(ABS(D22)),0)&amp;CHAR(176)&amp;TEXT((ABS(D22)-INT(ABS(D22)))*60,"00.0")&amp;CHAR(146)</f>
        <v>=38°55.4’</v>
      </c>
      <c r="I22" s="63" t="s">
        <v>84</v>
      </c>
      <c r="J22" s="58">
        <f>IF(C6&gt;180,K21,360-K21)</f>
        <v>359.80388076615594</v>
      </c>
      <c r="K22" s="64"/>
      <c r="M22" s="31">
        <f>J22</f>
        <v>359.80388076615594</v>
      </c>
    </row>
    <row r="24" spans="1:11" ht="12.75">
      <c r="A24" t="s">
        <v>99</v>
      </c>
      <c r="B24" t="s">
        <v>100</v>
      </c>
      <c r="E24" s="2" t="s">
        <v>15</v>
      </c>
      <c r="F24" s="2" t="s">
        <v>101</v>
      </c>
      <c r="I24" s="32" t="s">
        <v>102</v>
      </c>
      <c r="J24" s="33"/>
      <c r="K24" s="26"/>
    </row>
    <row r="25" spans="5:11" ht="12.75">
      <c r="E25" s="61">
        <f>LOG(ABS(1/ABS(SIN((D22)*PI()/180))))*10^5</f>
        <v>20185.1955229299</v>
      </c>
      <c r="F25" s="61">
        <f>10^3*LOG(ABS(1/TAN(D22*PI()/180)))</f>
        <v>92.82784861753301</v>
      </c>
      <c r="I25" s="34" t="s">
        <v>103</v>
      </c>
      <c r="J25" s="36">
        <f>ATAN(COS(C6*PI()/180)/TAN(D4*PI()/180))</f>
        <v>-0.012365166857660276</v>
      </c>
      <c r="K25" s="37"/>
    </row>
    <row r="26" spans="7:13" ht="12.75">
      <c r="G26" s="61"/>
      <c r="I26" s="34" t="s">
        <v>104</v>
      </c>
      <c r="J26" s="36">
        <f>ATAN((TAN(C6*PI()/180)*SIN(J25))/COS(J25+D2*PI()/180))</f>
        <v>0.0034229263570129636</v>
      </c>
      <c r="K26" s="65">
        <f>ABS(J26*180/PI())</f>
        <v>0.19611923384093288</v>
      </c>
      <c r="L26" s="139">
        <f>IF(M28&lt;0,"WARNING object likely below horizon","")</f>
      </c>
      <c r="M26" s="140"/>
    </row>
    <row r="27" spans="1:13" ht="12.75">
      <c r="A27" t="s">
        <v>105</v>
      </c>
      <c r="B27" t="s">
        <v>106</v>
      </c>
      <c r="D27" s="1" t="s">
        <v>107</v>
      </c>
      <c r="E27" s="61">
        <f>E20+E25</f>
        <v>20784.601158913927</v>
      </c>
      <c r="I27" s="34" t="s">
        <v>62</v>
      </c>
      <c r="J27" s="36">
        <f>ATAN(COS(J26)*TAN(J25+D2*PI()/180))</f>
        <v>0.6683103922535002</v>
      </c>
      <c r="K27" s="43">
        <f>(J27*180/PI())</f>
        <v>38.291364880858104</v>
      </c>
      <c r="L27" s="139"/>
      <c r="M27" s="140"/>
    </row>
    <row r="28" spans="4:14" ht="12.75" customHeight="1">
      <c r="D28" s="1" t="s">
        <v>62</v>
      </c>
      <c r="E28" s="66">
        <f>180/PI()*ASIN(1/(10^(E27/10^5)))</f>
        <v>38.291364880858104</v>
      </c>
      <c r="F28" s="67" t="str">
        <f>"="&amp;TEXT(INT(E28),0)&amp;CHAR(176)&amp;TEXT((E28-INT(E28))*60,"00")&amp;CHAR(146)</f>
        <v>=38°17’</v>
      </c>
      <c r="I28" s="34" t="s">
        <v>66</v>
      </c>
      <c r="J28" s="68" t="str">
        <f>IF(AND(J26&lt;0,J27&gt;0),K26,"-")</f>
        <v>-</v>
      </c>
      <c r="K28" s="37"/>
      <c r="L28" s="69">
        <f>IF(M28&lt;0,"HcMeeusP93 =","")</f>
      </c>
      <c r="M28" s="70">
        <f>ASIN(SIN(D2*PI()/180)*SIN(D4*PI()/180)+COS(D2*PI()/180)*COS(D4*PI()/180)*COS(C6*PI()/180))*180/PI()</f>
        <v>38.291364880858104</v>
      </c>
      <c r="N28" t="s">
        <v>87</v>
      </c>
    </row>
    <row r="29" spans="3:14" ht="12.75">
      <c r="C29" s="8" t="s">
        <v>139</v>
      </c>
      <c r="F29" s="8">
        <f>IF(SIGN(D22)&lt;&gt;SIGN(D2),-1*E28,E28)</f>
        <v>38.291364880858104</v>
      </c>
      <c r="I29" s="34"/>
      <c r="J29" s="68" t="str">
        <f>IF(AND(J26&gt;0,J27&lt;0),180-K26,"-")</f>
        <v>-</v>
      </c>
      <c r="K29" s="37"/>
      <c r="L29" s="71" t="s">
        <v>49</v>
      </c>
      <c r="M29" s="31">
        <f>180+180/PI()*ATAN2(COS(C6*PI()/180)*SIN(D2*PI()/180)-TAN(D4*PI()/180)*COS(D2*PI()/180),SIN(C6*PI()/180))</f>
        <v>359.80388076615907</v>
      </c>
      <c r="N29" s="72" t="s">
        <v>108</v>
      </c>
    </row>
    <row r="30" spans="1:12" ht="12.75">
      <c r="A30" t="s">
        <v>109</v>
      </c>
      <c r="B30" t="s">
        <v>110</v>
      </c>
      <c r="E30" s="1" t="s">
        <v>111</v>
      </c>
      <c r="F30" s="61">
        <f>F25+F20</f>
        <v>875.3347295155625</v>
      </c>
      <c r="I30" s="34"/>
      <c r="J30" s="68" t="str">
        <f>IF(AND(J26&lt;0,J27&lt;0),180+K26,"-")</f>
        <v>-</v>
      </c>
      <c r="K30" s="37"/>
      <c r="L30" s="73"/>
    </row>
    <row r="31" spans="2:11" ht="12.75">
      <c r="B31" s="1" t="s">
        <v>112</v>
      </c>
      <c r="F31" s="61">
        <f>IF(F30&gt;10000,F30-10000,F30)</f>
        <v>875.3347295155625</v>
      </c>
      <c r="I31" s="34"/>
      <c r="J31" s="36">
        <f>IF(AND(J26&gt;0,J27&gt;0),360-K26,"-")</f>
        <v>359.80388076615907</v>
      </c>
      <c r="K31" s="37"/>
    </row>
    <row r="32" spans="9:13" ht="12.75">
      <c r="I32" s="48"/>
      <c r="J32" s="51">
        <f>MAX(J27:J31)</f>
        <v>359.80388076615907</v>
      </c>
      <c r="K32" s="74"/>
      <c r="M32" s="31">
        <f>J32</f>
        <v>359.80388076615907</v>
      </c>
    </row>
    <row r="33" spans="1:11" ht="12.75">
      <c r="A33" t="s">
        <v>113</v>
      </c>
      <c r="B33" t="s">
        <v>114</v>
      </c>
      <c r="C33" s="1"/>
      <c r="D33" s="60"/>
      <c r="F33" s="1" t="s">
        <v>115</v>
      </c>
      <c r="G33" s="60">
        <f>90-ATAN(1/(10^(F31/10^3)))*180/PI()</f>
        <v>82.41008156465044</v>
      </c>
      <c r="K33" s="62"/>
    </row>
    <row r="34" spans="12:13" ht="12.75">
      <c r="L34" s="75"/>
      <c r="M34" s="76"/>
    </row>
    <row r="35" spans="1:12" ht="12.75">
      <c r="A35" t="s">
        <v>116</v>
      </c>
      <c r="B35" t="s">
        <v>117</v>
      </c>
      <c r="D35" s="60"/>
      <c r="G35" s="60">
        <f>IF(ABS(D22)&lt;=90,D22/ABS(D22)*ABS(G33),-1*D22/ABS(D22)*ABS(G33))</f>
        <v>82.41008156465044</v>
      </c>
      <c r="I35" s="9">
        <f>IF(SIGN(D22)&lt;&gt;SIGN(D2),180-G33,G33)</f>
        <v>82.41008156465044</v>
      </c>
      <c r="J35" s="9">
        <f>IF(ABS(D22)&gt;90,-1*ABS(I35),I35)</f>
        <v>82.41008156465044</v>
      </c>
      <c r="K35" s="8" t="s">
        <v>185</v>
      </c>
      <c r="L35" s="76"/>
    </row>
    <row r="36" spans="3:8" ht="12.75">
      <c r="C36" s="1"/>
      <c r="H36" t="s">
        <v>66</v>
      </c>
    </row>
    <row r="37" spans="1:12" ht="12.75">
      <c r="A37" t="s">
        <v>118</v>
      </c>
      <c r="B37" t="s">
        <v>119</v>
      </c>
      <c r="F37" s="1" t="s">
        <v>120</v>
      </c>
      <c r="G37" s="77">
        <f>G20+G35</f>
        <v>0.19611923384093188</v>
      </c>
      <c r="H37" t="str">
        <f>IF(AND($D$2&gt;0,$C$6&gt;180),ABS(G37),"-")</f>
        <v>-</v>
      </c>
      <c r="I37" t="s">
        <v>121</v>
      </c>
      <c r="K37" t="str">
        <f>IF(AND($D$2&gt;0,$C$6&gt;180),180-ABS(G37),"-")</f>
        <v>-</v>
      </c>
      <c r="L37" t="s">
        <v>121</v>
      </c>
    </row>
    <row r="38" spans="4:12" ht="12.75">
      <c r="D38" s="8" t="s">
        <v>186</v>
      </c>
      <c r="G38" s="9">
        <f>IF(G37&lt;0,360+G37,G37)</f>
        <v>0.19611923384093188</v>
      </c>
      <c r="H38">
        <f>IF(AND($D$2&gt;0,$C$6&lt;180),360-ABS(G37),"-")</f>
        <v>359.80388076615907</v>
      </c>
      <c r="I38" t="s">
        <v>122</v>
      </c>
      <c r="K38">
        <f>IF(AND($D$2&gt;0,$C$6&lt;180),360-(180-ABS(G37)),"-")</f>
        <v>180.19611923384093</v>
      </c>
      <c r="L38" t="s">
        <v>122</v>
      </c>
    </row>
    <row r="39" spans="8:12" ht="12.75">
      <c r="H39" s="12" t="str">
        <f>IF(AND($D$2&lt;0,$C$6&gt;180),180-ABS(G$37),"-")</f>
        <v>-</v>
      </c>
      <c r="I39" t="s">
        <v>123</v>
      </c>
      <c r="K39" s="12" t="str">
        <f>IF(AND($D$2&lt;0,$C$6&gt;180),180-(180-ABS(G$37)),"-")</f>
        <v>-</v>
      </c>
      <c r="L39" t="s">
        <v>123</v>
      </c>
    </row>
    <row r="40" spans="8:12" ht="12.75">
      <c r="H40" t="str">
        <f>IF(AND($D$2&lt;0,$C$6&lt;180),180+ABS(G$37),"-")</f>
        <v>-</v>
      </c>
      <c r="I40" t="s">
        <v>124</v>
      </c>
      <c r="K40" t="str">
        <f>IF(AND($D$2&lt;0,$C$6&lt;180),180+(180-ABS(G$37)),"-")</f>
        <v>-</v>
      </c>
      <c r="L40" t="s">
        <v>124</v>
      </c>
    </row>
    <row r="41" spans="8:11" ht="12.75">
      <c r="H41">
        <f>MAX(H37:H40)</f>
        <v>359.80388076615907</v>
      </c>
      <c r="K41">
        <f>MAX(K37:K40)</f>
        <v>180.19611923384093</v>
      </c>
    </row>
    <row r="43" ht="12.75">
      <c r="F43" t="s">
        <v>181</v>
      </c>
    </row>
    <row r="44" ht="12.75">
      <c r="F44" t="s">
        <v>182</v>
      </c>
    </row>
    <row r="45" spans="6:8" ht="12.75">
      <c r="F45" t="s">
        <v>84</v>
      </c>
      <c r="G45">
        <f>IF(D3&gt;180,ABS(G37),360-ABS(G37))</f>
        <v>359.80388076615907</v>
      </c>
      <c r="H45" s="12"/>
    </row>
  </sheetData>
  <mergeCells count="1">
    <mergeCell ref="L26:M2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1"/>
  <sheetViews>
    <sheetView workbookViewId="0" topLeftCell="A1">
      <selection activeCell="A1" sqref="A1:C1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8.7109375" style="0" customWidth="1"/>
    <col min="4" max="4" width="8.57421875" style="98" customWidth="1"/>
    <col min="5" max="5" width="10.7109375" style="0" customWidth="1"/>
    <col min="6" max="6" width="9.00390625" style="99" customWidth="1"/>
    <col min="7" max="7" width="7.140625" style="0" customWidth="1"/>
    <col min="8" max="16384" width="9.00390625" style="0" customWidth="1"/>
  </cols>
  <sheetData>
    <row r="1" spans="1:6" ht="12.75">
      <c r="A1">
        <v>39</v>
      </c>
      <c r="B1">
        <v>89.275</v>
      </c>
      <c r="C1">
        <v>167.741666</v>
      </c>
      <c r="D1" s="6">
        <f>D14</f>
        <v>38.29136488085812</v>
      </c>
      <c r="E1" s="6">
        <f>B28</f>
        <v>359.8038807661591</v>
      </c>
      <c r="F1"/>
    </row>
    <row r="2" spans="1:7" s="105" customFormat="1" ht="12.75">
      <c r="A2" s="100" t="s">
        <v>187</v>
      </c>
      <c r="B2" s="100" t="s">
        <v>188</v>
      </c>
      <c r="C2" s="101">
        <f>180/PI()</f>
        <v>57.29577951308232</v>
      </c>
      <c r="D2" s="102"/>
      <c r="E2" s="100" t="s">
        <v>189</v>
      </c>
      <c r="F2" s="103" t="s">
        <v>190</v>
      </c>
      <c r="G2" s="104">
        <f>PI()/180</f>
        <v>0.017453292519943295</v>
      </c>
    </row>
    <row r="3" spans="1:6" ht="12.75">
      <c r="A3" s="106" t="s">
        <v>59</v>
      </c>
      <c r="B3" t="s">
        <v>191</v>
      </c>
      <c r="C3" s="107" t="s">
        <v>192</v>
      </c>
      <c r="D3" s="108">
        <f>A1</f>
        <v>39</v>
      </c>
      <c r="E3" s="107" t="s">
        <v>193</v>
      </c>
      <c r="F3" s="109">
        <f>LAT*PI()/180</f>
        <v>0.6806784082777885</v>
      </c>
    </row>
    <row r="4" spans="2:6" ht="12.75">
      <c r="B4" t="s">
        <v>195</v>
      </c>
      <c r="C4" s="107" t="s">
        <v>196</v>
      </c>
      <c r="D4" s="110">
        <f>B1</f>
        <v>89.275</v>
      </c>
      <c r="E4" s="107" t="s">
        <v>197</v>
      </c>
      <c r="F4" s="109">
        <f>Dec*PI()/180</f>
        <v>1.5581426897179378</v>
      </c>
    </row>
    <row r="5" spans="2:6" ht="12.75">
      <c r="B5" t="s">
        <v>191</v>
      </c>
      <c r="C5" s="107" t="s">
        <v>6</v>
      </c>
      <c r="D5" s="108">
        <f>C1</f>
        <v>167.741666</v>
      </c>
      <c r="E5" s="107" t="s">
        <v>194</v>
      </c>
      <c r="F5" s="109">
        <f>LHA*PI()/180</f>
        <v>2.927644364480627</v>
      </c>
    </row>
    <row r="6" spans="1:3" ht="12.75">
      <c r="A6" s="106" t="s">
        <v>89</v>
      </c>
      <c r="B6" t="s">
        <v>198</v>
      </c>
      <c r="C6" s="107"/>
    </row>
    <row r="7" spans="1:5" ht="12.75">
      <c r="A7" t="s">
        <v>199</v>
      </c>
      <c r="B7" t="str">
        <f>"("&amp;TEXT(LAT,"00")&amp;","&amp;TEXT(LHA,"00")&amp;")"</f>
        <v>(39,168)</v>
      </c>
      <c r="C7" s="107" t="s">
        <v>12</v>
      </c>
      <c r="D7" s="109">
        <f>rad2deg*ASIN(COS(latpi)*SIN(lhapi))</f>
        <v>9.497436966897995</v>
      </c>
      <c r="E7" s="99"/>
    </row>
    <row r="8" spans="3:6" ht="12.75">
      <c r="C8" s="107" t="s">
        <v>15</v>
      </c>
      <c r="D8" s="109">
        <f>rad2deg*ASIN(COS(latpi)*SIN(D9*deg2rad))</f>
        <v>-50.35221522638622</v>
      </c>
      <c r="E8" t="s">
        <v>200</v>
      </c>
      <c r="F8" s="99">
        <f>IF(AND(LHA&gt;90,LHA&lt;270),-1*ABS(D8),ABS(D8))</f>
        <v>-50.35221522638622</v>
      </c>
    </row>
    <row r="9" spans="3:6" ht="12.75">
      <c r="C9" s="107" t="s">
        <v>201</v>
      </c>
      <c r="D9" s="109">
        <f>180/PI()*ASIN(COS(LHA*deg2rad)/COS(deg2rad*D7))</f>
        <v>-82.21396233080952</v>
      </c>
      <c r="E9" t="s">
        <v>200</v>
      </c>
      <c r="F9" s="99">
        <f>SIGN(F8)*ABS(D9)</f>
        <v>-82.21396233080952</v>
      </c>
    </row>
    <row r="10" spans="1:3" ht="12.75">
      <c r="A10" s="106" t="s">
        <v>94</v>
      </c>
      <c r="C10" s="107"/>
    </row>
    <row r="11" spans="3:6" ht="12.75">
      <c r="C11" s="107" t="s">
        <v>196</v>
      </c>
      <c r="E11" t="s">
        <v>200</v>
      </c>
      <c r="F11" s="99">
        <f>IF(SIGN(LAT)&lt;&gt;SIGN(Dec),-1*ABS(Dec),ABS(Dec))</f>
        <v>89.275</v>
      </c>
    </row>
    <row r="12" spans="2:4" ht="12.75">
      <c r="B12" s="107" t="s">
        <v>202</v>
      </c>
      <c r="C12" s="107" t="s">
        <v>203</v>
      </c>
      <c r="D12" s="109">
        <f>F8+F11</f>
        <v>38.922784773613785</v>
      </c>
    </row>
    <row r="13" spans="1:3" ht="12.75">
      <c r="A13" s="106" t="s">
        <v>96</v>
      </c>
      <c r="B13" t="s">
        <v>198</v>
      </c>
      <c r="C13" s="107"/>
    </row>
    <row r="14" spans="1:5" ht="12.75">
      <c r="A14" s="107" t="s">
        <v>204</v>
      </c>
      <c r="B14" t="str">
        <f>"("&amp;TEXT(D7,"00")&amp;","&amp;TEXT(D12,"00")&amp;")"</f>
        <v>(09,39)</v>
      </c>
      <c r="C14" s="107" t="s">
        <v>205</v>
      </c>
      <c r="D14" s="111">
        <f>rad2deg*ASIN(COS(deg2rad*D7)*SIN(deg2rad*(D12)))</f>
        <v>38.29136488085812</v>
      </c>
      <c r="E14" s="25" t="str">
        <f>"="&amp;TEXT(INT(D14),0)&amp;CHAR(176)&amp;TEXT((D14-INT(D14))*60,"00.0")&amp;CHAR(146)</f>
        <v>=38°17.5’</v>
      </c>
    </row>
    <row r="15" spans="1:4" ht="12.75">
      <c r="A15" t="s">
        <v>220</v>
      </c>
      <c r="C15" s="107" t="s">
        <v>206</v>
      </c>
      <c r="D15" s="109">
        <f>rad2deg*ASIN(COS(D7*deg2rad)*SIN(D16*deg2rad))</f>
        <v>77.86414536897682</v>
      </c>
    </row>
    <row r="16" spans="3:4" ht="12.75">
      <c r="C16" s="107" t="s">
        <v>207</v>
      </c>
      <c r="D16" s="109">
        <f>180/PI()*ASIN(COS(ABS((D12))*deg2rad)/COS(PI()/180*D14))</f>
        <v>82.41008156465041</v>
      </c>
    </row>
    <row r="17" spans="3:7" ht="12.75">
      <c r="C17" s="107"/>
      <c r="D17" s="109"/>
      <c r="F17" s="99" t="s">
        <v>225</v>
      </c>
      <c r="G17" t="str">
        <f>IF(D12&lt;-90,180+ABS(D16),"No")</f>
        <v>No</v>
      </c>
    </row>
    <row r="18" spans="1:8" ht="12.75">
      <c r="A18" s="106" t="s">
        <v>113</v>
      </c>
      <c r="C18" s="107"/>
      <c r="D18" s="109"/>
      <c r="F18" t="s">
        <v>208</v>
      </c>
      <c r="G18" s="99" t="str">
        <f>IF(D12&gt;90,-1*ABS(D16),"No")</f>
        <v>No</v>
      </c>
      <c r="H18" t="s">
        <v>223</v>
      </c>
    </row>
    <row r="19" spans="3:8" ht="12.75">
      <c r="C19" s="107"/>
      <c r="D19" s="109"/>
      <c r="F19" s="99" t="s">
        <v>209</v>
      </c>
      <c r="G19" s="99" t="str">
        <f>IF(D12&lt;0,180-ABS(D16),"No")</f>
        <v>No</v>
      </c>
      <c r="H19" t="s">
        <v>224</v>
      </c>
    </row>
    <row r="20" spans="2:7" ht="12.75">
      <c r="B20" t="s">
        <v>213</v>
      </c>
      <c r="C20" s="107" t="s">
        <v>207</v>
      </c>
      <c r="D20" s="109">
        <f>IF(G20=0,D16,G20)</f>
        <v>82.41008156465041</v>
      </c>
      <c r="F20" s="99" t="s">
        <v>214</v>
      </c>
      <c r="G20" s="13">
        <f>MAX(F17:G19)</f>
        <v>0</v>
      </c>
    </row>
    <row r="21" ht="12.75">
      <c r="B21" t="s">
        <v>210</v>
      </c>
    </row>
    <row r="22" spans="2:4" ht="12.75">
      <c r="B22" s="107" t="s">
        <v>65</v>
      </c>
      <c r="C22" s="1" t="s">
        <v>211</v>
      </c>
      <c r="D22" s="109">
        <f>F9+D20</f>
        <v>0.19611923384088925</v>
      </c>
    </row>
    <row r="24" spans="2:3" ht="12.75">
      <c r="B24" t="str">
        <f>IF(AND(LAT&gt;0,LHA&gt;180),ABS(D22),"-")</f>
        <v>-</v>
      </c>
      <c r="C24" t="s">
        <v>121</v>
      </c>
    </row>
    <row r="25" spans="2:3" ht="12.75">
      <c r="B25">
        <f>IF(AND(LAT&gt;0,LHA&lt;180),360-ABS(D22),"-")</f>
        <v>359.8038807661591</v>
      </c>
      <c r="C25" t="s">
        <v>122</v>
      </c>
    </row>
    <row r="26" spans="2:3" ht="12.75">
      <c r="B26" s="12" t="str">
        <f>IF(AND(LAT&lt;0,LHA&gt;180),180-ABS(D$22),"-")</f>
        <v>-</v>
      </c>
      <c r="C26" t="s">
        <v>123</v>
      </c>
    </row>
    <row r="27" spans="2:3" ht="12.75">
      <c r="B27" t="str">
        <f>IF(AND(LAT&lt;0,LHA&lt;180),180+ABS(D$22),"-")</f>
        <v>-</v>
      </c>
      <c r="C27" t="s">
        <v>124</v>
      </c>
    </row>
    <row r="28" ht="12.75">
      <c r="B28" s="112">
        <f>MAX(B24:B27)</f>
        <v>359.8038807661591</v>
      </c>
    </row>
    <row r="30" spans="1:4" ht="12.75">
      <c r="A30" s="113" t="s">
        <v>212</v>
      </c>
      <c r="B30" s="114">
        <f>ASIN(SIN(latpi)*SIN(decpi)+COS(latpi)*COS(decpi)*COS(lhapi))*180/PI()</f>
        <v>38.291364880858104</v>
      </c>
      <c r="C30" s="70" t="str">
        <f>TEXT(TRUNC(B30),"00")&amp;CHAR(176)&amp;TEXT((ABS(B30)-ABS(TRUNC(B30)))*60,"0.0")&amp;CHAR(146)</f>
        <v>38°17.5’</v>
      </c>
      <c r="D30" s="54"/>
    </row>
    <row r="31" spans="1:4" ht="12.75">
      <c r="A31" s="115" t="s">
        <v>49</v>
      </c>
      <c r="B31" s="116">
        <f>180+180/PI()*ATAN2(COS(lhapi)*SIN(latpi)-TAN(decpi)*COS(latpi),SIN(lhapi))</f>
        <v>359.80388076615907</v>
      </c>
      <c r="C31" s="118" t="str">
        <f>TEXT(INT(B31),"00")&amp;CHAR(176)&amp;TEXT((B31-INT(B31))*60,"0.0")&amp;CHAR(146)</f>
        <v>359°48.2’</v>
      </c>
      <c r="D31" s="117" t="s">
        <v>215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5"/>
  <sheetViews>
    <sheetView zoomScale="73" zoomScaleNormal="73" workbookViewId="0" topLeftCell="A1">
      <selection activeCell="A1" sqref="A1:C1"/>
    </sheetView>
  </sheetViews>
  <sheetFormatPr defaultColWidth="9.140625" defaultRowHeight="12.75"/>
  <cols>
    <col min="1" max="1" width="8.00390625" style="0" customWidth="1"/>
    <col min="2" max="2" width="28.8515625" style="0" customWidth="1"/>
    <col min="3" max="3" width="11.28125" style="0" customWidth="1"/>
    <col min="4" max="4" width="9.28125" style="0" customWidth="1"/>
    <col min="5" max="5" width="9.57421875" style="0" customWidth="1"/>
    <col min="6" max="6" width="7.7109375" style="0" customWidth="1"/>
    <col min="7" max="7" width="9.8515625" style="0" customWidth="1"/>
    <col min="8" max="8" width="6.8515625" style="0" customWidth="1"/>
    <col min="9" max="9" width="11.00390625" style="0" customWidth="1"/>
    <col min="10" max="10" width="12.140625" style="0" customWidth="1"/>
    <col min="11" max="11" width="12.421875" style="2" customWidth="1"/>
    <col min="12" max="12" width="12.421875" style="0" customWidth="1"/>
  </cols>
  <sheetData>
    <row r="1" spans="1:11" ht="12.75">
      <c r="A1">
        <v>39</v>
      </c>
      <c r="B1">
        <v>89.275</v>
      </c>
      <c r="C1">
        <v>167.741666</v>
      </c>
      <c r="D1" s="6">
        <f>E18</f>
        <v>38.291364880858104</v>
      </c>
      <c r="E1" s="6">
        <f>H31</f>
        <v>359.80388076615907</v>
      </c>
      <c r="H1" s="35"/>
      <c r="I1" s="125" t="s">
        <v>221</v>
      </c>
      <c r="J1" s="129">
        <f>ASIN(SIN($D$2*PI()/180)*SIN($D$4*PI()/180)+COS($D$2*PI()/180)*COS($D$4*PI()/180)*COS($D$3*PI()/180))*180/PI()</f>
        <v>38.291364880858104</v>
      </c>
      <c r="K1" s="119"/>
    </row>
    <row r="2" spans="1:11" ht="12.75">
      <c r="A2" t="s">
        <v>59</v>
      </c>
      <c r="B2" t="s">
        <v>60</v>
      </c>
      <c r="C2" s="1" t="s">
        <v>137</v>
      </c>
      <c r="D2" s="23">
        <f>IF(B4="rand",E2,F2)</f>
        <v>39</v>
      </c>
      <c r="E2" s="23">
        <f ca="1">INT(-90+RAND()*180)</f>
        <v>84</v>
      </c>
      <c r="F2" s="23">
        <f>A1</f>
        <v>39</v>
      </c>
      <c r="G2" t="s">
        <v>61</v>
      </c>
      <c r="H2" s="47"/>
      <c r="I2" s="130" t="s">
        <v>222</v>
      </c>
      <c r="J2" s="129">
        <f>180+180/PI()*ATAN2(COS($D$3*PI()/180)*SIN($D$2*PI()/180)-TAN($D$4*PI()/180)*COS($D$2*PI()/180),SIN($D$3*PI()/180))</f>
        <v>359.80388076615907</v>
      </c>
      <c r="K2" s="119"/>
    </row>
    <row r="3" spans="2:13" ht="12.75">
      <c r="B3" t="s">
        <v>63</v>
      </c>
      <c r="C3" s="1" t="s">
        <v>64</v>
      </c>
      <c r="D3" s="23">
        <f>IF(B4="rand",E3,F3)</f>
        <v>167.741666</v>
      </c>
      <c r="E3" s="23">
        <f ca="1">INT(RAND()*360)</f>
        <v>308</v>
      </c>
      <c r="F3">
        <f>C1</f>
        <v>167.741666</v>
      </c>
      <c r="H3" s="47"/>
      <c r="I3" s="123"/>
      <c r="J3" s="47"/>
      <c r="K3" s="124"/>
      <c r="M3" s="31"/>
    </row>
    <row r="4" spans="2:13" ht="12.75">
      <c r="B4" s="1" t="s">
        <v>4</v>
      </c>
      <c r="C4" s="1" t="s">
        <v>138</v>
      </c>
      <c r="D4" s="23">
        <f>IF(B4="rand",E4,F4+G4/60)</f>
        <v>89.275</v>
      </c>
      <c r="E4" s="23">
        <f ca="1">INT(-90+RAND()*180)</f>
        <v>77</v>
      </c>
      <c r="F4" s="23">
        <f>B1</f>
        <v>89.275</v>
      </c>
      <c r="G4" s="23">
        <v>0</v>
      </c>
      <c r="H4" t="s">
        <v>67</v>
      </c>
      <c r="M4" s="31"/>
    </row>
    <row r="5" spans="2:6" ht="12.75">
      <c r="B5" s="1"/>
      <c r="C5" s="1"/>
      <c r="D5" t="s">
        <v>3</v>
      </c>
      <c r="E5" t="s">
        <v>68</v>
      </c>
      <c r="F5" t="s">
        <v>69</v>
      </c>
    </row>
    <row r="6" spans="3:15" ht="12.75">
      <c r="C6" s="1"/>
      <c r="D6" s="23"/>
      <c r="E6" s="23"/>
      <c r="G6" s="35"/>
      <c r="H6" s="35"/>
      <c r="I6" s="35"/>
      <c r="J6" s="36"/>
      <c r="K6" s="119"/>
      <c r="L6" s="35"/>
      <c r="M6" s="131"/>
      <c r="N6" s="132"/>
      <c r="O6" s="35"/>
    </row>
    <row r="7" spans="1:13" ht="12.75">
      <c r="A7" t="s">
        <v>89</v>
      </c>
      <c r="B7" t="s">
        <v>90</v>
      </c>
      <c r="D7" s="2" t="s">
        <v>75</v>
      </c>
      <c r="E7" s="2" t="s">
        <v>12</v>
      </c>
      <c r="F7" s="2" t="s">
        <v>91</v>
      </c>
      <c r="G7" s="2" t="s">
        <v>78</v>
      </c>
      <c r="H7" s="134"/>
      <c r="I7" s="135"/>
      <c r="J7" s="52"/>
      <c r="K7" s="133"/>
      <c r="L7" s="35"/>
      <c r="M7" s="31"/>
    </row>
    <row r="8" spans="4:12" ht="12.75">
      <c r="D8" s="60">
        <f>ABS((ATAN(1/TAN(D2*PI()/180)*COS(D3*PI()/180))*180/PI()))</f>
        <v>50.352215226386235</v>
      </c>
      <c r="E8" s="61">
        <f>LOG(1/(COS(ASIN(COS(D2*PI()/180)*SIN(D3*PI()/180)))))*10^5</f>
        <v>599.4056359840284</v>
      </c>
      <c r="F8" s="61">
        <f>LOG(ABS(1/(SIN(ASIN(COS(D2*PI()/180)*SIN(D$3*PI()/180))))))*10^3</f>
        <v>782.5068808980294</v>
      </c>
      <c r="G8" s="60">
        <f>ABS(ATAN(1/(SIN(D2*PI()/180)*TAN(D$3*(PI()/180))))*180/PI())</f>
        <v>82.21396233080951</v>
      </c>
      <c r="H8" s="35"/>
      <c r="I8" s="35"/>
      <c r="J8" s="136"/>
      <c r="K8" s="119"/>
      <c r="L8" s="35"/>
    </row>
    <row r="9" spans="4:12" ht="12.75">
      <c r="D9" s="2"/>
      <c r="E9" s="61"/>
      <c r="F9" s="61"/>
      <c r="G9" s="62"/>
      <c r="H9" s="35"/>
      <c r="I9" s="35"/>
      <c r="J9" s="35"/>
      <c r="K9" s="119"/>
      <c r="L9" s="35"/>
    </row>
    <row r="10" spans="1:12" ht="12.75">
      <c r="A10" t="s">
        <v>94</v>
      </c>
      <c r="B10" t="s">
        <v>95</v>
      </c>
      <c r="D10" s="60">
        <f>IF(OR(AND($D3&gt;0,$D3&lt;90),AND($D3&gt;270,$D3&lt;360)),$D2/ABS($D2)*ABS(D8),-1*$D2/ABS($D2)*ABS(D8))</f>
        <v>-50.352215226386235</v>
      </c>
      <c r="E10" s="61">
        <f>E8</f>
        <v>599.4056359840284</v>
      </c>
      <c r="F10" s="61">
        <f>F8</f>
        <v>782.5068808980294</v>
      </c>
      <c r="G10" s="60">
        <f>IF(OR(AND($D3&gt;0,$D3&lt;90),AND($D3&gt;270,$D3&lt;360)),$D2/ABS($D2)*ABS(G8),-1*$D2/ABS($D2)*ABS(G8))</f>
        <v>-82.21396233080951</v>
      </c>
      <c r="H10" s="35"/>
      <c r="I10" s="35"/>
      <c r="J10" s="35"/>
      <c r="K10" s="52"/>
      <c r="L10" s="35"/>
    </row>
    <row r="11" spans="8:12" ht="12.75">
      <c r="H11" s="35"/>
      <c r="I11" s="35"/>
      <c r="J11" s="35"/>
      <c r="K11" s="36"/>
      <c r="L11" s="35"/>
    </row>
    <row r="12" spans="1:13" ht="12.75">
      <c r="A12" t="s">
        <v>96</v>
      </c>
      <c r="B12" t="s">
        <v>97</v>
      </c>
      <c r="C12" s="1" t="s">
        <v>98</v>
      </c>
      <c r="D12" s="60">
        <f>D4+D10</f>
        <v>38.92278477361377</v>
      </c>
      <c r="E12" s="5" t="str">
        <f>"="&amp;TEXT(D12/ABS(D12)*INT(ABS(D12)),0)&amp;CHAR(176)&amp;TEXT((ABS(D12)-INT(ABS(D12)))*60,"00.0")&amp;CHAR(146)</f>
        <v>=38°55.4’</v>
      </c>
      <c r="I12" s="122"/>
      <c r="J12" s="52"/>
      <c r="K12" s="119"/>
      <c r="M12" s="31"/>
    </row>
    <row r="13" spans="8:10" ht="12.75">
      <c r="H13" s="35"/>
      <c r="I13" s="35"/>
      <c r="J13" s="35"/>
    </row>
    <row r="14" spans="1:10" ht="12.75">
      <c r="A14" t="s">
        <v>99</v>
      </c>
      <c r="B14" t="s">
        <v>100</v>
      </c>
      <c r="E14" s="2" t="s">
        <v>15</v>
      </c>
      <c r="F14" s="2" t="s">
        <v>101</v>
      </c>
      <c r="H14" s="35"/>
      <c r="I14" s="35"/>
      <c r="J14" s="35"/>
    </row>
    <row r="15" spans="5:11" ht="12.75">
      <c r="E15" s="61">
        <f>LOG(ABS(1/ABS(SIN((D12)*PI()/180))))*10^5</f>
        <v>20185.1955229299</v>
      </c>
      <c r="F15" s="61">
        <f>10^3*LOG(ABS(1/TAN(D12*PI()/180)))</f>
        <v>92.82784861753301</v>
      </c>
      <c r="H15" s="35"/>
      <c r="I15" s="35"/>
      <c r="J15" s="36"/>
      <c r="K15" s="119"/>
    </row>
    <row r="16" spans="7:13" ht="12.75">
      <c r="G16" s="61"/>
      <c r="H16" s="35"/>
      <c r="I16" s="35"/>
      <c r="J16" s="36"/>
      <c r="K16" s="120"/>
      <c r="L16" s="139"/>
      <c r="M16" s="140"/>
    </row>
    <row r="17" spans="1:13" ht="12.75">
      <c r="A17" t="s">
        <v>105</v>
      </c>
      <c r="B17" t="s">
        <v>106</v>
      </c>
      <c r="D17" s="1" t="s">
        <v>107</v>
      </c>
      <c r="E17" s="61">
        <f>E10+E15</f>
        <v>20784.601158913927</v>
      </c>
      <c r="H17" s="35"/>
      <c r="I17" s="35"/>
      <c r="J17" s="36"/>
      <c r="K17" s="52"/>
      <c r="L17" s="139"/>
      <c r="M17" s="140"/>
    </row>
    <row r="18" spans="4:14" ht="12.75" customHeight="1">
      <c r="D18" s="1" t="s">
        <v>62</v>
      </c>
      <c r="E18" s="66">
        <f>180/PI()*ASIN(1/(10^(E17/10^5)))</f>
        <v>38.291364880858104</v>
      </c>
      <c r="F18" s="67" t="str">
        <f>"="&amp;TEXT(INT(E18),0)&amp;CHAR(176)&amp;TEXT((E18-INT(E18))*60,"00")&amp;CHAR(146)</f>
        <v>=38°17’</v>
      </c>
      <c r="H18" s="35"/>
      <c r="I18" s="35"/>
      <c r="J18" s="68"/>
      <c r="K18" s="119"/>
      <c r="L18" s="125"/>
      <c r="M18" s="126"/>
      <c r="N18" s="35"/>
    </row>
    <row r="19" spans="3:14" ht="12.75">
      <c r="C19" s="8"/>
      <c r="F19" s="8"/>
      <c r="H19" s="35"/>
      <c r="I19" s="35"/>
      <c r="J19" s="68"/>
      <c r="K19" s="119"/>
      <c r="L19" s="127"/>
      <c r="M19" s="128"/>
      <c r="N19" s="35"/>
    </row>
    <row r="20" spans="1:12" ht="12.75">
      <c r="A20" t="s">
        <v>109</v>
      </c>
      <c r="B20" t="s">
        <v>110</v>
      </c>
      <c r="E20" s="1" t="s">
        <v>111</v>
      </c>
      <c r="F20" s="61">
        <f>F15+F10</f>
        <v>875.3347295155625</v>
      </c>
      <c r="H20" s="35"/>
      <c r="I20" s="35"/>
      <c r="J20" s="68"/>
      <c r="K20" s="119"/>
      <c r="L20" s="73"/>
    </row>
    <row r="21" spans="2:11" ht="12.75">
      <c r="B21" s="1" t="s">
        <v>112</v>
      </c>
      <c r="F21" s="61">
        <f>IF(F20&gt;10000,F20-10000,F20)</f>
        <v>875.3347295155625</v>
      </c>
      <c r="H21" s="35"/>
      <c r="I21" s="35"/>
      <c r="J21" s="36"/>
      <c r="K21" s="119"/>
    </row>
    <row r="22" spans="8:13" ht="12.75">
      <c r="H22" s="35"/>
      <c r="I22" s="35"/>
      <c r="J22" s="52"/>
      <c r="K22" s="121"/>
      <c r="M22" s="31"/>
    </row>
    <row r="23" spans="1:11" ht="12.75">
      <c r="A23" t="s">
        <v>113</v>
      </c>
      <c r="B23" t="s">
        <v>114</v>
      </c>
      <c r="C23" s="1"/>
      <c r="D23" s="60"/>
      <c r="F23" s="1" t="s">
        <v>115</v>
      </c>
      <c r="G23" s="60">
        <f>90-ATAN(1/(10^(F21/10^3)))*180/PI()</f>
        <v>82.41008156465044</v>
      </c>
      <c r="H23" s="35"/>
      <c r="I23" s="35"/>
      <c r="J23" s="35"/>
      <c r="K23" s="121"/>
    </row>
    <row r="24" spans="12:13" ht="12.75">
      <c r="L24" s="75"/>
      <c r="M24" s="76"/>
    </row>
    <row r="25" spans="1:12" ht="12.75">
      <c r="A25" t="s">
        <v>116</v>
      </c>
      <c r="B25" t="s">
        <v>117</v>
      </c>
      <c r="D25" s="60"/>
      <c r="G25" s="60">
        <f>IF(ABS(D12)&lt;=90,D12/ABS(D12)*ABS(G23),-1*D12/ABS(D12)*ABS(G23))</f>
        <v>82.41008156465044</v>
      </c>
      <c r="I25" s="9"/>
      <c r="J25" s="9"/>
      <c r="K25" s="8"/>
      <c r="L25" s="76"/>
    </row>
    <row r="26" spans="3:8" ht="12.75">
      <c r="C26" s="1"/>
      <c r="H26" t="s">
        <v>66</v>
      </c>
    </row>
    <row r="27" spans="1:9" ht="12.75">
      <c r="A27" t="s">
        <v>118</v>
      </c>
      <c r="B27" t="s">
        <v>119</v>
      </c>
      <c r="F27" s="1" t="s">
        <v>120</v>
      </c>
      <c r="G27" s="77">
        <f>G10+G25</f>
        <v>0.19611923384093188</v>
      </c>
      <c r="H27" t="str">
        <f>IF(AND($D$2&gt;0,$D$3&gt;180),ABS(G27),"-")</f>
        <v>-</v>
      </c>
      <c r="I27" t="s">
        <v>121</v>
      </c>
    </row>
    <row r="28" spans="4:9" ht="12.75">
      <c r="D28" s="8"/>
      <c r="G28" s="9"/>
      <c r="H28">
        <f>IF(AND($D$2&gt;0,$D$3&lt;180),360-ABS(G27),"-")</f>
        <v>359.80388076615907</v>
      </c>
      <c r="I28" t="s">
        <v>122</v>
      </c>
    </row>
    <row r="29" spans="8:9" ht="12.75">
      <c r="H29" s="12" t="str">
        <f>IF(AND($D$2&lt;0,$D$3&gt;180),180-ABS(G$27),"-")</f>
        <v>-</v>
      </c>
      <c r="I29" t="s">
        <v>123</v>
      </c>
    </row>
    <row r="30" spans="8:9" ht="12.75">
      <c r="H30" t="str">
        <f>IF(AND($D$2&lt;0,$D$3&lt;180),180+ABS(G$27),"-")</f>
        <v>-</v>
      </c>
      <c r="I30" t="s">
        <v>124</v>
      </c>
    </row>
    <row r="31" ht="12.75">
      <c r="H31" s="77">
        <f>MAX(H27:H30)</f>
        <v>359.80388076615907</v>
      </c>
    </row>
    <row r="35" ht="12.75">
      <c r="H35" s="12"/>
    </row>
  </sheetData>
  <mergeCells count="1">
    <mergeCell ref="L16:M1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0"/>
  <sheetViews>
    <sheetView tabSelected="1" zoomScale="85" zoomScaleNormal="85" workbookViewId="0" topLeftCell="A31">
      <selection activeCell="A1" sqref="A1:C1"/>
    </sheetView>
  </sheetViews>
  <sheetFormatPr defaultColWidth="9.140625" defaultRowHeight="12.75"/>
  <sheetData>
    <row r="1" spans="1:5" s="2" customFormat="1" ht="12.75">
      <c r="A1">
        <v>39</v>
      </c>
      <c r="B1">
        <v>89.275</v>
      </c>
      <c r="C1">
        <v>167.741666</v>
      </c>
      <c r="D1" s="60">
        <f>F49</f>
        <v>38.2913648808582</v>
      </c>
      <c r="E1" s="60">
        <f>F70</f>
        <v>359.80388076615907</v>
      </c>
    </row>
    <row r="2" spans="1:5" s="2" customFormat="1" ht="12.75">
      <c r="A2" s="2" t="s">
        <v>61</v>
      </c>
      <c r="B2" s="2" t="s">
        <v>228</v>
      </c>
      <c r="C2" s="2" t="s">
        <v>125</v>
      </c>
      <c r="D2" s="60" t="s">
        <v>47</v>
      </c>
      <c r="E2" s="60" t="s">
        <v>58</v>
      </c>
    </row>
    <row r="3" spans="1:7" ht="12.75">
      <c r="A3" s="100" t="s">
        <v>187</v>
      </c>
      <c r="B3" s="100" t="s">
        <v>188</v>
      </c>
      <c r="C3" s="101">
        <f>180/PI()</f>
        <v>57.29577951308232</v>
      </c>
      <c r="D3" s="102"/>
      <c r="E3" s="100" t="s">
        <v>189</v>
      </c>
      <c r="F3" s="103" t="s">
        <v>190</v>
      </c>
      <c r="G3" s="104">
        <f>PI()/180</f>
        <v>0.017453292519943295</v>
      </c>
    </row>
    <row r="4" ht="12.75">
      <c r="A4" s="21" t="s">
        <v>226</v>
      </c>
    </row>
    <row r="6" spans="1:2" ht="12.75">
      <c r="A6" t="s">
        <v>59</v>
      </c>
      <c r="B6" t="s">
        <v>227</v>
      </c>
    </row>
    <row r="8" spans="1:2" ht="12.75">
      <c r="A8" t="s">
        <v>89</v>
      </c>
      <c r="B8" t="s">
        <v>229</v>
      </c>
    </row>
    <row r="9" spans="5:7" ht="12.75">
      <c r="E9" s="1" t="s">
        <v>6</v>
      </c>
      <c r="F9">
        <f>IF(C1&lt;180,C1,360-C1)</f>
        <v>167.741666</v>
      </c>
      <c r="G9" t="str">
        <f>IF(C1&lt;180,"W","E")</f>
        <v>W</v>
      </c>
    </row>
    <row r="11" spans="1:2" ht="12.75">
      <c r="A11" t="s">
        <v>94</v>
      </c>
      <c r="B11" t="s">
        <v>230</v>
      </c>
    </row>
    <row r="12" spans="5:7" ht="12.75">
      <c r="E12" s="1" t="s">
        <v>196</v>
      </c>
      <c r="F12">
        <f>IF(B1&gt;0,B1,ABS(B1))</f>
        <v>89.275</v>
      </c>
      <c r="G12" t="str">
        <f>IF(B1&lt;0,"S","N")</f>
        <v>N</v>
      </c>
    </row>
    <row r="13" spans="5:7" ht="12.75">
      <c r="E13" s="1" t="s">
        <v>144</v>
      </c>
      <c r="F13">
        <f>IF(A1&gt;0,A1,ABS(A1))</f>
        <v>39</v>
      </c>
      <c r="G13" t="str">
        <f>IF(A1&lt;0,"S","N")</f>
        <v>N</v>
      </c>
    </row>
    <row r="15" spans="1:2" ht="12.75">
      <c r="A15" t="s">
        <v>96</v>
      </c>
      <c r="B15" t="s">
        <v>231</v>
      </c>
    </row>
    <row r="17" spans="1:2" ht="12.75">
      <c r="A17" t="s">
        <v>99</v>
      </c>
      <c r="B17" t="s">
        <v>232</v>
      </c>
    </row>
    <row r="19" spans="1:6" ht="12.75">
      <c r="A19" t="s">
        <v>105</v>
      </c>
      <c r="B19" t="s">
        <v>233</v>
      </c>
      <c r="E19" s="1" t="s">
        <v>12</v>
      </c>
      <c r="F19" s="11">
        <f>10^5*LOG(1/SIN(PI()/180*($F$9)))</f>
        <v>67300.94753772795</v>
      </c>
    </row>
    <row r="20" spans="2:6" ht="12.75">
      <c r="B20" t="s">
        <v>234</v>
      </c>
      <c r="E20" s="1" t="s">
        <v>15</v>
      </c>
      <c r="F20" s="11">
        <f>10^5*LOG(1/ABS(COS(PI()/180*($F$12))))</f>
        <v>189779.621537627</v>
      </c>
    </row>
    <row r="21" spans="5:6" ht="12.75">
      <c r="E21" s="1" t="s">
        <v>235</v>
      </c>
      <c r="F21" s="11">
        <f>F19+F20</f>
        <v>257080.56907535496</v>
      </c>
    </row>
    <row r="23" spans="1:2" ht="12.75">
      <c r="A23" t="s">
        <v>109</v>
      </c>
      <c r="B23" t="s">
        <v>236</v>
      </c>
    </row>
    <row r="24" spans="5:10" ht="12.75">
      <c r="E24" s="1" t="s">
        <v>245</v>
      </c>
      <c r="F24" s="13">
        <f>ASIN(1/10^(F21/10^5))*180/PI()</f>
        <v>0.1539279424025784</v>
      </c>
      <c r="G24" t="s">
        <v>26</v>
      </c>
      <c r="J24" t="s">
        <v>273</v>
      </c>
    </row>
    <row r="25" spans="5:10" ht="12.75">
      <c r="E25" s="1" t="s">
        <v>15</v>
      </c>
      <c r="F25" s="11">
        <f>(10^5*LOG(ABS(1/COS($F$24*PI()/180))))</f>
        <v>0.15672724568754676</v>
      </c>
      <c r="G25" s="1" t="s">
        <v>12</v>
      </c>
      <c r="H25" s="11">
        <f>10^5*LOG(1/SIN(PI()/180*($F$24)))</f>
        <v>257080.569075355</v>
      </c>
      <c r="J25" t="s">
        <v>274</v>
      </c>
    </row>
    <row r="26" spans="2:10" ht="12.75">
      <c r="B26" t="s">
        <v>250</v>
      </c>
      <c r="E26" s="1" t="s">
        <v>12</v>
      </c>
      <c r="F26" s="11">
        <f>10^5*LOG(1/SIN(PI()/180*($F$12)))</f>
        <v>3.4769356564135494</v>
      </c>
      <c r="G26" s="1"/>
      <c r="H26" s="11"/>
      <c r="J26">
        <f>ASIN(1/(1/SIN(F9*PI()/180)*1/COS(F12*PI()/180)))*180/PI()</f>
        <v>0.1539279424025784</v>
      </c>
    </row>
    <row r="27" spans="2:8" ht="12.75">
      <c r="B27" t="s">
        <v>251</v>
      </c>
      <c r="E27" s="1" t="s">
        <v>252</v>
      </c>
      <c r="F27" s="11">
        <f>F26-F25</f>
        <v>3.3202084107260026</v>
      </c>
      <c r="G27" s="1"/>
      <c r="H27" s="11"/>
    </row>
    <row r="28" ht="12.75">
      <c r="J28" t="s">
        <v>275</v>
      </c>
    </row>
    <row r="29" spans="1:10" ht="12.75">
      <c r="A29" t="s">
        <v>113</v>
      </c>
      <c r="B29" t="s">
        <v>237</v>
      </c>
      <c r="J29">
        <f>ASIN(1/((1/SIN(F12*PI()/180))/(1/COS(J26*PI()/180))))*180/PI()</f>
        <v>89.29152812608112</v>
      </c>
    </row>
    <row r="30" spans="5:8" ht="12.75">
      <c r="E30" s="1" t="s">
        <v>103</v>
      </c>
      <c r="F30" s="13">
        <f>ASIN(1/10^(F27/10^5))*180/PI()</f>
        <v>89.29152812608112</v>
      </c>
      <c r="G30" t="s">
        <v>26</v>
      </c>
      <c r="H30" t="s">
        <v>284</v>
      </c>
    </row>
    <row r="31" spans="2:10" ht="12.75">
      <c r="B31" t="s">
        <v>261</v>
      </c>
      <c r="E31" s="1"/>
      <c r="F31" s="13">
        <f>IF(F9&gt;90,180-F30,F30)</f>
        <v>90.70847187391888</v>
      </c>
      <c r="G31" t="s">
        <v>262</v>
      </c>
      <c r="J31" t="s">
        <v>277</v>
      </c>
    </row>
    <row r="32" spans="2:6" ht="12.75">
      <c r="B32" s="31" t="str">
        <f>IF(F9&gt;90,"True","False")</f>
        <v>True</v>
      </c>
      <c r="E32" s="1"/>
      <c r="F32" s="13"/>
    </row>
    <row r="34" spans="1:7" ht="12.75">
      <c r="A34" t="s">
        <v>116</v>
      </c>
      <c r="B34" t="s">
        <v>238</v>
      </c>
      <c r="E34" s="1" t="s">
        <v>103</v>
      </c>
      <c r="F34" s="13">
        <f>F31</f>
        <v>90.70847187391888</v>
      </c>
      <c r="G34" t="str">
        <f>G12</f>
        <v>N</v>
      </c>
    </row>
    <row r="35" spans="2:10" ht="12.75">
      <c r="B35" t="s">
        <v>239</v>
      </c>
      <c r="J35" t="s">
        <v>276</v>
      </c>
    </row>
    <row r="36" spans="3:6" ht="12.75">
      <c r="C36" t="s">
        <v>240</v>
      </c>
      <c r="F36" s="13" t="str">
        <f>IF(G34&lt;&gt;G13,F34+F13,"No")</f>
        <v>No</v>
      </c>
    </row>
    <row r="37" spans="3:6" ht="12.75">
      <c r="C37" t="s">
        <v>241</v>
      </c>
      <c r="F37" s="13">
        <f>IF(G34=G13,ABS(F34-F13),"No")</f>
        <v>51.70847187391888</v>
      </c>
    </row>
    <row r="38" spans="5:6" ht="12.75">
      <c r="E38" s="1" t="s">
        <v>152</v>
      </c>
      <c r="F38" s="13">
        <f>MAX(F36:F37)</f>
        <v>51.70847187391888</v>
      </c>
    </row>
    <row r="40" spans="1:6" ht="12.75">
      <c r="A40" t="s">
        <v>242</v>
      </c>
      <c r="B40" t="s">
        <v>243</v>
      </c>
      <c r="E40" s="1" t="s">
        <v>247</v>
      </c>
      <c r="F40" s="11">
        <f>10^5*LOG(1/ABS(COS(PI()/180*($F$38))))</f>
        <v>20784.444431668144</v>
      </c>
    </row>
    <row r="41" spans="2:6" ht="12.75">
      <c r="B41" t="s">
        <v>246</v>
      </c>
      <c r="E41" s="1" t="s">
        <v>248</v>
      </c>
      <c r="F41" s="11">
        <f>F25</f>
        <v>0.15672724568754676</v>
      </c>
    </row>
    <row r="42" spans="5:6" ht="12.75">
      <c r="E42" s="1" t="s">
        <v>235</v>
      </c>
      <c r="F42" s="11">
        <f>F40+F41</f>
        <v>20784.601158913832</v>
      </c>
    </row>
    <row r="43" ht="12.75">
      <c r="F43" s="11"/>
    </row>
    <row r="44" spans="1:2" ht="12.75">
      <c r="A44" t="s">
        <v>244</v>
      </c>
      <c r="B44" t="s">
        <v>249</v>
      </c>
    </row>
    <row r="45" spans="5:7" ht="12.75">
      <c r="E45" s="1" t="s">
        <v>150</v>
      </c>
      <c r="F45" s="138">
        <f>ASIN(1/10^(F42/10^5))*180/PI()</f>
        <v>38.2913648808582</v>
      </c>
      <c r="G45" s="70"/>
    </row>
    <row r="46" spans="5:9" ht="12.75">
      <c r="E46" s="1"/>
      <c r="F46" s="138"/>
      <c r="G46" s="126"/>
      <c r="I46" t="s">
        <v>281</v>
      </c>
    </row>
    <row r="47" spans="8:10" ht="12.75">
      <c r="H47" s="31" t="str">
        <f>IF(AND(G34=G13,F34&gt;(90+F13)),"True","False")</f>
        <v>False</v>
      </c>
      <c r="I47" t="s">
        <v>269</v>
      </c>
      <c r="J47" t="s">
        <v>278</v>
      </c>
    </row>
    <row r="48" spans="8:10" ht="12.75">
      <c r="H48" s="31" t="str">
        <f>IF(AND(G34&lt;&gt;G13,F34&gt;(90-F13)),"True","False")</f>
        <v>False</v>
      </c>
      <c r="I48" t="s">
        <v>270</v>
      </c>
      <c r="J48" t="s">
        <v>279</v>
      </c>
    </row>
    <row r="49" spans="6:8" ht="12.75">
      <c r="F49" s="137">
        <f>IF(OR(H47="true",H48="true"),-1*F45,F45)</f>
        <v>38.2913648808582</v>
      </c>
      <c r="G49" s="70" t="str">
        <f>"="&amp;TEXT(TRUNC(F49),"00")&amp;CHAR(176)&amp;TEXT((ABS(F49)-ABS(TRUNC(F49)))*60,"0.0")&amp;CHAR(146)</f>
        <v>=38°17.5’</v>
      </c>
      <c r="H49" t="s">
        <v>271</v>
      </c>
    </row>
    <row r="51" spans="1:2" ht="12.75">
      <c r="A51" t="s">
        <v>253</v>
      </c>
      <c r="B51" t="s">
        <v>254</v>
      </c>
    </row>
    <row r="53" spans="1:6" ht="12.75">
      <c r="A53" t="s">
        <v>255</v>
      </c>
      <c r="B53" t="s">
        <v>256</v>
      </c>
      <c r="E53" s="1" t="s">
        <v>15</v>
      </c>
      <c r="F53" s="11">
        <f>(10^5*LOG(ABS(1/COS($F$45*PI()/180))))</f>
        <v>10520.239824430364</v>
      </c>
    </row>
    <row r="54" spans="2:6" ht="12.75">
      <c r="B54" t="s">
        <v>272</v>
      </c>
      <c r="E54" t="s">
        <v>12</v>
      </c>
      <c r="F54" s="11">
        <f>H25</f>
        <v>257080.569075355</v>
      </c>
    </row>
    <row r="55" spans="2:6" ht="12.75">
      <c r="B55" t="s">
        <v>257</v>
      </c>
      <c r="E55" t="s">
        <v>258</v>
      </c>
      <c r="F55" s="11">
        <f>F54-F53</f>
        <v>246560.3292509246</v>
      </c>
    </row>
    <row r="57" spans="1:7" ht="12.75">
      <c r="A57" t="s">
        <v>259</v>
      </c>
      <c r="B57" t="s">
        <v>260</v>
      </c>
      <c r="E57" t="s">
        <v>65</v>
      </c>
      <c r="F57" s="138">
        <f>180-ASIN(1/10^(F55/10^5))*180/PI()</f>
        <v>179.80388076615907</v>
      </c>
      <c r="G57" t="s">
        <v>283</v>
      </c>
    </row>
    <row r="58" ht="12.75">
      <c r="B58" t="s">
        <v>263</v>
      </c>
    </row>
    <row r="59" spans="2:7" ht="12.75">
      <c r="B59" s="31" t="str">
        <f>IF(AND(G34=G13,F34&gt;F13),"True","False")</f>
        <v>True</v>
      </c>
      <c r="F59" s="138">
        <f>IF(AND(G34=G13,F34&gt;F13),180-F57,F57)</f>
        <v>0.19611923384093188</v>
      </c>
      <c r="G59" t="s">
        <v>264</v>
      </c>
    </row>
    <row r="61" spans="7:9" ht="12.75">
      <c r="G61" s="126"/>
      <c r="I61" t="s">
        <v>281</v>
      </c>
    </row>
    <row r="62" spans="7:9" ht="12.75">
      <c r="G62" s="126"/>
      <c r="H62" s="31" t="str">
        <f>IF(AND(G34&lt;&gt;G13,F34&gt;(90-F13),F34&gt;(180-F13)),"True","False")</f>
        <v>False</v>
      </c>
      <c r="I62" t="s">
        <v>280</v>
      </c>
    </row>
    <row r="63" spans="8:9" ht="12.75">
      <c r="H63" s="31"/>
      <c r="I63" t="s">
        <v>285</v>
      </c>
    </row>
    <row r="64" spans="5:8" ht="12.75">
      <c r="E64" t="s">
        <v>65</v>
      </c>
      <c r="F64" s="137">
        <f>IF(H62="false",F59,180-F59)</f>
        <v>0.19611923384093188</v>
      </c>
      <c r="G64" s="70" t="str">
        <f>"="&amp;TEXT(TRUNC(F64),"00")&amp;CHAR(176)&amp;TEXT((ABS(F64)-ABS(TRUNC(F64)))*60,"0.0")&amp;CHAR(146)</f>
        <v>=00°11.8’</v>
      </c>
      <c r="H64" t="s">
        <v>271</v>
      </c>
    </row>
    <row r="66" spans="6:7" ht="12.75">
      <c r="F66" s="138" t="str">
        <f>IF(AND(G13="N",G9="E"),F64,"-")</f>
        <v>-</v>
      </c>
      <c r="G66" t="s">
        <v>265</v>
      </c>
    </row>
    <row r="67" spans="6:7" ht="12.75">
      <c r="F67">
        <f>IF(AND(G13="N",G9="W"),360-F64,"-")</f>
        <v>359.80388076615907</v>
      </c>
      <c r="G67" t="s">
        <v>266</v>
      </c>
    </row>
    <row r="68" spans="6:7" ht="12.75">
      <c r="F68" t="str">
        <f>IF(AND(G13="S",G9="E"),180-F64,"-")</f>
        <v>-</v>
      </c>
      <c r="G68" t="s">
        <v>267</v>
      </c>
    </row>
    <row r="69" spans="6:7" ht="12.75">
      <c r="F69" t="str">
        <f>IF(AND(G13="S",G9="W"),180+F64,"-")</f>
        <v>-</v>
      </c>
      <c r="G69" t="s">
        <v>268</v>
      </c>
    </row>
    <row r="70" spans="5:7" ht="12.75">
      <c r="E70" t="s">
        <v>84</v>
      </c>
      <c r="F70" s="137">
        <f>MIN(F66:F69)</f>
        <v>359.80388076615907</v>
      </c>
      <c r="G70" s="70" t="str">
        <f>"="&amp;TEXT(TRUNC(F70),"00")&amp;CHAR(176)&amp;TEXT((ABS(F70)-ABS(TRUNC(F70)))*60,"0.0")&amp;CHAR(146)</f>
        <v>=359°48.2’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daw</cp:lastModifiedBy>
  <cp:lastPrinted>2003-05-30T16:18:56Z</cp:lastPrinted>
  <dcterms:created xsi:type="dcterms:W3CDTF">2003-05-22T11:39:54Z</dcterms:created>
  <dcterms:modified xsi:type="dcterms:W3CDTF">2003-06-04T01:31:14Z</dcterms:modified>
  <cp:category/>
  <cp:version/>
  <cp:contentType/>
  <cp:contentStatus/>
</cp:coreProperties>
</file>