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35" windowHeight="10365" activeTab="0"/>
  </bookViews>
  <sheets>
    <sheet name="SampleCalc" sheetId="1" r:id="rId1"/>
    <sheet name="Table" sheetId="2" r:id="rId2"/>
    <sheet name="AuxTable" sheetId="3" r:id="rId3"/>
  </sheets>
  <definedNames>
    <definedName name="decpi">'SampleCalc'!$F$4</definedName>
    <definedName name="Dec">'SampleCalc'!$D$4</definedName>
    <definedName name="LAT">'SampleCalc'!$D$2</definedName>
    <definedName name="LHA">'SampleCalc'!$D$3</definedName>
    <definedName name="deg2rad">'SampleCalc'!$G$1</definedName>
    <definedName name="rad2deg">'SampleCalc'!$C$1</definedName>
    <definedName name="latpi">'SampleCalc'!$F$2</definedName>
    <definedName name="lhapi">'SampleCalc'!$F$3</definedName>
  </definedNames>
  <calcPr fullCalcOnLoad="1"/>
</workbook>
</file>

<file path=xl/sharedStrings.xml><?xml version="1.0" encoding="utf-8"?>
<sst xmlns="http://schemas.openxmlformats.org/spreadsheetml/2006/main" count="114" uniqueCount="83">
  <si>
    <t>rad2deg=</t>
  </si>
  <si>
    <t>Z1=</t>
  </si>
  <si>
    <t>180/pi()=</t>
  </si>
  <si>
    <t>Sign correct</t>
  </si>
  <si>
    <t>deg2rad=</t>
  </si>
  <si>
    <t>Step 6</t>
  </si>
  <si>
    <t>corr1</t>
  </si>
  <si>
    <t>pi()/180=</t>
  </si>
  <si>
    <t>from aux table</t>
  </si>
  <si>
    <t>Now do with integer values to show use of Aux Table</t>
  </si>
  <si>
    <t>lat&lt;0  LHA&gt;180</t>
  </si>
  <si>
    <t>P=</t>
  </si>
  <si>
    <t>Assumed</t>
  </si>
  <si>
    <t>Dec=</t>
  </si>
  <si>
    <t>LHA=</t>
  </si>
  <si>
    <t>LHApi=</t>
  </si>
  <si>
    <t>corr1=</t>
  </si>
  <si>
    <t>Is A' &lt;30', if yes neg</t>
  </si>
  <si>
    <t>Step 8</t>
  </si>
  <si>
    <t>Azimuth</t>
  </si>
  <si>
    <t>Step 2</t>
  </si>
  <si>
    <t>from table</t>
  </si>
  <si>
    <t>Is F &gt;90?</t>
  </si>
  <si>
    <t>Is F&gt;90 and F'&lt;30,if yes neg</t>
  </si>
  <si>
    <t>Decim</t>
  </si>
  <si>
    <t>Min</t>
  </si>
  <si>
    <t>HcMeeusP93</t>
  </si>
  <si>
    <t>Z2=</t>
  </si>
  <si>
    <t>B=</t>
  </si>
  <si>
    <t>adjust sign of Z2</t>
  </si>
  <si>
    <t>Step 7</t>
  </si>
  <si>
    <t>H=</t>
  </si>
  <si>
    <t>lat&gt;0  LHA&lt;180</t>
  </si>
  <si>
    <t>(A,F)=</t>
  </si>
  <si>
    <t>Step 3</t>
  </si>
  <si>
    <t>Step 1</t>
  </si>
  <si>
    <t>LAT=</t>
  </si>
  <si>
    <t>LATpi=</t>
  </si>
  <si>
    <t>corr2</t>
  </si>
  <si>
    <t>Step 5</t>
  </si>
  <si>
    <t>corr2=</t>
  </si>
  <si>
    <t>lat&lt;0  LHA&lt;180</t>
  </si>
  <si>
    <t>B+Dec=</t>
  </si>
  <si>
    <t>Almanac</t>
  </si>
  <si>
    <t>F=</t>
  </si>
  <si>
    <t>DecPi=</t>
  </si>
  <si>
    <t>sign correct for corr2</t>
  </si>
  <si>
    <t>Is F&lt;90 and F'&gt;29,if yes neg</t>
  </si>
  <si>
    <t>Z=</t>
  </si>
  <si>
    <t>Z1+Z2=</t>
  </si>
  <si>
    <t>(Lat,LHA)=</t>
  </si>
  <si>
    <t>A=</t>
  </si>
  <si>
    <t>Is F &lt;0?</t>
  </si>
  <si>
    <t>sign correct for corr1</t>
  </si>
  <si>
    <t>Zn from Meeus</t>
  </si>
  <si>
    <t>lat&gt;0  LHA&gt;180</t>
  </si>
  <si>
    <t>via atan2(x,y)</t>
  </si>
  <si>
    <t>Step 4</t>
  </si>
  <si>
    <t>B:(-) for 90deg&lt;LHA&lt;270deg</t>
  </si>
  <si>
    <t>Z2:(-) for F&gt;90deg</t>
  </si>
  <si>
    <t>for LHA&lt;180…Zn=360-Z</t>
  </si>
  <si>
    <t>N. Lat.:</t>
  </si>
  <si>
    <t>Z1: same sign as B</t>
  </si>
  <si>
    <t>for LHA&gt;180…Zn=Z</t>
  </si>
  <si>
    <t>for LHA&lt;180…Zn=180+Z</t>
  </si>
  <si>
    <t>S. Lat.:</t>
  </si>
  <si>
    <t>for LHA&gt;180…Zn=180-Z</t>
  </si>
  <si>
    <t>LHA</t>
  </si>
  <si>
    <t>F</t>
  </si>
  <si>
    <t>A/H</t>
  </si>
  <si>
    <t>B/P</t>
  </si>
  <si>
    <t>Z1/Z2</t>
  </si>
  <si>
    <t>LAT/A</t>
  </si>
  <si>
    <t>With Minutes</t>
  </si>
  <si>
    <t>Dec:(-) for Lat. Contrary name</t>
  </si>
  <si>
    <t>F&lt;90 and F'&gt;29' : (-) corr.</t>
  </si>
  <si>
    <t>A'&lt;30' : (-) corr.</t>
  </si>
  <si>
    <t>P</t>
  </si>
  <si>
    <t>Z2</t>
  </si>
  <si>
    <t>F'/A'=</t>
  </si>
  <si>
    <t>For P&gt;80, use 80</t>
  </si>
  <si>
    <t>F&gt;90 and F'&lt;30 : (-) corr.</t>
  </si>
  <si>
    <t>For Z2&lt;10, use 10</t>
  </si>
</sst>
</file>

<file path=xl/styles.xml><?xml version="1.0" encoding="utf-8"?>
<styleSheet xmlns="http://schemas.openxmlformats.org/spreadsheetml/2006/main">
  <numFmts count="10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"/>
    <numFmt numFmtId="51" formatCode="0.000"/>
  </numFmts>
  <fonts count="12">
    <font>
      <sz val="10"/>
      <name val="Tahoma"/>
      <family val="0"/>
    </font>
    <font>
      <b/>
      <sz val="10"/>
      <name val="Tahoma"/>
      <family val="0"/>
    </font>
    <font>
      <b/>
      <sz val="10"/>
      <color indexed="57"/>
      <name val="Tahoma"/>
      <family val="0"/>
    </font>
    <font>
      <sz val="10"/>
      <color indexed="14"/>
      <name val="Tahoma"/>
      <family val="0"/>
    </font>
    <font>
      <sz val="10"/>
      <color indexed="10"/>
      <name val="Arial"/>
      <family val="0"/>
    </font>
    <font>
      <sz val="10"/>
      <color indexed="8"/>
      <name val="Sans"/>
      <family val="0"/>
    </font>
    <font>
      <b/>
      <sz val="10"/>
      <color indexed="10"/>
      <name val="Tahoma"/>
      <family val="0"/>
    </font>
    <font>
      <sz val="10"/>
      <color indexed="8"/>
      <name val="Tahoma"/>
      <family val="0"/>
    </font>
    <font>
      <b/>
      <sz val="10"/>
      <color indexed="17"/>
      <name val="Arial Rounded MT Bold"/>
      <family val="0"/>
    </font>
    <font>
      <b/>
      <sz val="12"/>
      <name val="Arial"/>
      <family val="0"/>
    </font>
    <font>
      <sz val="10"/>
      <color indexed="8"/>
      <name val="Arial"/>
      <family val="0"/>
    </font>
    <font>
      <sz val="10"/>
      <color indexed="10"/>
      <name val="Tahoma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2" fontId="6" fillId="0" borderId="0" xfId="0" applyNumberFormat="1" applyFont="1" applyFill="1" applyBorder="1" applyAlignment="1" applyProtection="1">
      <alignment horizontal="left"/>
      <protection/>
    </xf>
    <xf numFmtId="51" fontId="6" fillId="0" borderId="0" xfId="0" applyNumberFormat="1" applyFont="1" applyFill="1" applyBorder="1" applyAlignment="1" applyProtection="1">
      <alignment horizontal="left"/>
      <protection/>
    </xf>
    <xf numFmtId="0" fontId="4" fillId="0" borderId="2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left"/>
      <protection/>
    </xf>
    <xf numFmtId="2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/>
      <protection/>
    </xf>
    <xf numFmtId="50" fontId="7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/>
      <protection/>
    </xf>
    <xf numFmtId="51" fontId="4" fillId="0" borderId="4" xfId="0" applyNumberFormat="1" applyFont="1" applyFill="1" applyBorder="1" applyAlignment="1" applyProtection="1">
      <alignment/>
      <protection/>
    </xf>
    <xf numFmtId="50" fontId="3" fillId="0" borderId="0" xfId="0" applyNumberFormat="1" applyFont="1" applyFill="1" applyBorder="1" applyAlignment="1" applyProtection="1">
      <alignment horizontal="left"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2" fontId="4" fillId="0" borderId="4" xfId="0" applyNumberFormat="1" applyFont="1" applyFill="1" applyBorder="1" applyAlignment="1" applyProtection="1">
      <alignment/>
      <protection/>
    </xf>
    <xf numFmtId="51" fontId="4" fillId="0" borderId="5" xfId="0" applyNumberFormat="1" applyFont="1" applyFill="1" applyBorder="1" applyAlignment="1" applyProtection="1">
      <alignment/>
      <protection/>
    </xf>
    <xf numFmtId="50" fontId="0" fillId="0" borderId="0" xfId="0" applyNumberFormat="1" applyFont="1" applyFill="1" applyBorder="1" applyAlignment="1" applyProtection="1">
      <alignment/>
      <protection/>
    </xf>
    <xf numFmtId="51" fontId="3" fillId="0" borderId="0" xfId="0" applyNumberFormat="1" applyFont="1" applyFill="1" applyBorder="1" applyAlignment="1" applyProtection="1">
      <alignment horizontal="left"/>
      <protection/>
    </xf>
    <xf numFmtId="2" fontId="2" fillId="0" borderId="0" xfId="0" applyNumberFormat="1" applyFont="1" applyFill="1" applyBorder="1" applyAlignment="1" applyProtection="1">
      <alignment horizontal="left"/>
      <protection/>
    </xf>
    <xf numFmtId="2" fontId="3" fillId="0" borderId="0" xfId="0" applyNumberFormat="1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51" fontId="10" fillId="0" borderId="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1" xfId="0" applyNumberFormat="1" applyFont="1" applyFill="1" applyBorder="1" applyAlignment="1" applyProtection="1">
      <alignment horizontal="right"/>
      <protection/>
    </xf>
    <xf numFmtId="2" fontId="4" fillId="0" borderId="6" xfId="0" applyNumberFormat="1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50" fontId="7" fillId="0" borderId="0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Fill="1" applyBorder="1" applyAlignment="1" applyProtection="1">
      <alignment horizontal="center"/>
      <protection/>
    </xf>
    <xf numFmtId="2" fontId="9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tabSelected="1" zoomScale="85" zoomScaleNormal="85" zoomScaleSheetLayoutView="1" workbookViewId="0" topLeftCell="A1">
      <selection activeCell="J16" sqref="J16"/>
    </sheetView>
  </sheetViews>
  <sheetFormatPr defaultColWidth="9.140625" defaultRowHeight="12.75"/>
  <cols>
    <col min="1" max="1" width="10.7109375" style="1" customWidth="1"/>
    <col min="2" max="2" width="14.421875" style="1" customWidth="1"/>
    <col min="3" max="3" width="10.57421875" style="1" customWidth="1"/>
    <col min="4" max="4" width="10.28125" style="34" customWidth="1"/>
    <col min="5" max="5" width="14.140625" style="1" customWidth="1"/>
    <col min="6" max="6" width="11.421875" style="31" customWidth="1"/>
    <col min="7" max="7" width="9.00390625" style="1" customWidth="1"/>
    <col min="8" max="8" width="4.421875" style="1" customWidth="1"/>
    <col min="9" max="9" width="8.57421875" style="1" customWidth="1"/>
    <col min="10" max="10" width="12.8515625" style="1" customWidth="1"/>
    <col min="11" max="11" width="15.421875" style="1" customWidth="1"/>
    <col min="12" max="12" width="9.00390625" style="1" customWidth="1"/>
    <col min="13" max="13" width="10.7109375" style="1" customWidth="1"/>
    <col min="14" max="14" width="8.140625" style="1" customWidth="1"/>
    <col min="15" max="15" width="6.140625" style="1" customWidth="1"/>
    <col min="16" max="16" width="6.421875" style="1" customWidth="1"/>
    <col min="17" max="17" width="8.28125" style="22" customWidth="1"/>
    <col min="18" max="18" width="3.57421875" style="1" customWidth="1"/>
    <col min="19" max="19" width="5.00390625" style="1" customWidth="1"/>
    <col min="20" max="20" width="5.7109375" style="1" customWidth="1"/>
    <col min="21" max="21" width="4.8515625" style="1" customWidth="1"/>
    <col min="22" max="256" width="9.00390625" style="1" customWidth="1"/>
  </cols>
  <sheetData>
    <row r="1" spans="1:256" ht="12.75">
      <c r="A1" s="7" t="s">
        <v>0</v>
      </c>
      <c r="B1" s="7" t="s">
        <v>2</v>
      </c>
      <c r="C1" s="21">
        <f>180/PI()</f>
        <v>57.29577951308232</v>
      </c>
      <c r="D1" s="32"/>
      <c r="E1" s="7" t="s">
        <v>4</v>
      </c>
      <c r="F1" s="14" t="s">
        <v>7</v>
      </c>
      <c r="G1" s="28">
        <f>PI()/180</f>
        <v>0.017453292519943295</v>
      </c>
      <c r="H1" s="28"/>
      <c r="I1" s="3" t="s">
        <v>9</v>
      </c>
      <c r="J1" s="28"/>
      <c r="K1" s="28"/>
      <c r="L1" s="28"/>
      <c r="M1" s="28"/>
      <c r="N1" s="24"/>
      <c r="O1" s="24"/>
      <c r="P1" s="24"/>
      <c r="Q1" s="30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</row>
    <row r="2" spans="1:9" ht="12.75">
      <c r="A2" s="2" t="s">
        <v>35</v>
      </c>
      <c r="B2" s="1" t="s">
        <v>12</v>
      </c>
      <c r="C2" s="5" t="s">
        <v>36</v>
      </c>
      <c r="D2" s="18">
        <v>43</v>
      </c>
      <c r="E2" s="5" t="s">
        <v>37</v>
      </c>
      <c r="F2" s="37">
        <f>LAT*PI()/180</f>
        <v>0.7504915783575616</v>
      </c>
      <c r="I2" s="23"/>
    </row>
    <row r="3" spans="2:9" ht="12.75">
      <c r="B3" s="1" t="s">
        <v>12</v>
      </c>
      <c r="C3" s="5" t="s">
        <v>14</v>
      </c>
      <c r="D3" s="18">
        <v>339</v>
      </c>
      <c r="E3" s="5" t="s">
        <v>15</v>
      </c>
      <c r="F3" s="37">
        <f>LHA*PI()/180</f>
        <v>5.916666164260777</v>
      </c>
      <c r="I3" s="23"/>
    </row>
    <row r="4" spans="2:9" ht="12.75">
      <c r="B4" s="1" t="s">
        <v>43</v>
      </c>
      <c r="C4" s="5" t="s">
        <v>13</v>
      </c>
      <c r="D4" s="29">
        <f>20+6/60</f>
        <v>20.1</v>
      </c>
      <c r="E4" s="5" t="s">
        <v>45</v>
      </c>
      <c r="F4" s="37">
        <f>Dec*PI()/180</f>
        <v>0.3508111796508602</v>
      </c>
      <c r="I4" s="23"/>
    </row>
    <row r="5" spans="1:18" ht="12.75">
      <c r="A5" s="2" t="s">
        <v>20</v>
      </c>
      <c r="B5" s="1" t="s">
        <v>21</v>
      </c>
      <c r="C5" s="5"/>
      <c r="I5" s="23"/>
      <c r="Q5" s="22" t="s">
        <v>24</v>
      </c>
      <c r="R5" s="1" t="s">
        <v>25</v>
      </c>
    </row>
    <row r="6" spans="1:18" ht="12.75">
      <c r="A6" s="1" t="s">
        <v>50</v>
      </c>
      <c r="B6" s="1" t="str">
        <f>"("&amp;TEXT(LAT,"00.00")&amp;","&amp;TEXT(LHA,"00.00")&amp;")"</f>
        <v>(43.00,339.00)</v>
      </c>
      <c r="C6" s="5" t="s">
        <v>51</v>
      </c>
      <c r="D6" s="37">
        <f>rad2deg*ABS(ASIN(COS(latpi)*SIN(lhapi)))</f>
        <v>15.194332807038167</v>
      </c>
      <c r="E6" s="31"/>
      <c r="I6" s="15" t="str">
        <f>"A"&amp;CHAR(176)&amp;"="</f>
        <v>A°=</v>
      </c>
      <c r="J6" s="37">
        <f>D6</f>
        <v>15.194332807038167</v>
      </c>
      <c r="N6" s="15" t="str">
        <f>"A"&amp;CHAR(176)&amp;"="</f>
        <v>A°=</v>
      </c>
      <c r="O6" s="34">
        <f>ROUND(ABS(D6),0)</f>
        <v>15</v>
      </c>
      <c r="P6" s="15" t="str">
        <f>"A"&amp;CHAR(39)&amp;"="</f>
        <v>A'=</v>
      </c>
      <c r="Q6" s="13">
        <f>ABS(J6)-INT(ABS(D6))</f>
        <v>0.19433280703816713</v>
      </c>
      <c r="R6" s="4">
        <f>Q6*60</f>
        <v>11.659968422290028</v>
      </c>
    </row>
    <row r="7" spans="3:18" ht="12.75">
      <c r="C7" s="5" t="s">
        <v>28</v>
      </c>
      <c r="D7" s="37">
        <f>rad2deg*ABS(ASIN(COS(latpi)*SIN(D8*deg2rad)))</f>
        <v>45.03270974036539</v>
      </c>
      <c r="E7" s="1" t="s">
        <v>3</v>
      </c>
      <c r="F7" s="31">
        <f>IF(AND(LHA&gt;90,LHA&lt;270),-1*ABS(D7),ABS(D7))</f>
        <v>45.03270974036539</v>
      </c>
      <c r="I7" s="5" t="s">
        <v>28</v>
      </c>
      <c r="J7" s="37">
        <f>D7</f>
        <v>45.03270974036539</v>
      </c>
      <c r="K7" s="1" t="s">
        <v>3</v>
      </c>
      <c r="L7" s="13">
        <f>IF(AND(LHA&gt;90,LHA&lt;270),-1*ABS(J7),ABS(J7))</f>
        <v>45.03270974036539</v>
      </c>
      <c r="M7" s="33" t="str">
        <f>TEXT(INT(L7),"00")&amp;CHAR(176)&amp;TEXT((L7-INT(L7))*60,"0")&amp;CHAR(146)</f>
        <v>45°2’</v>
      </c>
      <c r="N7" s="15"/>
      <c r="O7" s="34"/>
      <c r="Q7" s="1"/>
      <c r="R7" s="4"/>
    </row>
    <row r="8" spans="3:18" ht="12.75">
      <c r="C8" s="5" t="s">
        <v>1</v>
      </c>
      <c r="D8" s="37">
        <f>180/PI()*ABS(ASIN(COS(LHA*deg2rad)/COS(deg2rad*D6)))</f>
        <v>75.32951140028815</v>
      </c>
      <c r="E8" s="1" t="s">
        <v>3</v>
      </c>
      <c r="F8" s="31">
        <f>SIGN(F7)*ABS(D8)</f>
        <v>75.32951140028815</v>
      </c>
      <c r="I8" s="5" t="s">
        <v>1</v>
      </c>
      <c r="J8" s="17">
        <f>D8</f>
        <v>75.32951140028815</v>
      </c>
      <c r="K8" s="1" t="s">
        <v>3</v>
      </c>
      <c r="L8" s="17">
        <f>SIGN(L7)*ABS(J8)</f>
        <v>75.32951140028815</v>
      </c>
      <c r="N8" s="15"/>
      <c r="O8" s="34"/>
      <c r="Q8" s="1"/>
      <c r="R8" s="4"/>
    </row>
    <row r="9" spans="1:18" ht="12.75">
      <c r="A9" s="2" t="s">
        <v>34</v>
      </c>
      <c r="C9" s="5"/>
      <c r="I9" s="35"/>
      <c r="J9" s="34"/>
      <c r="K9" s="15"/>
      <c r="L9" s="13"/>
      <c r="N9" s="15"/>
      <c r="O9" s="13"/>
      <c r="P9" s="4"/>
      <c r="Q9" s="15"/>
      <c r="R9" s="34"/>
    </row>
    <row r="10" spans="2:18" ht="12.75">
      <c r="B10" s="1" t="s">
        <v>3</v>
      </c>
      <c r="C10" s="5" t="s">
        <v>13</v>
      </c>
      <c r="D10" s="34">
        <f>IF(SIGN(D4)&lt;&gt;SIGN(D2),-1*ABS(D4),D4)</f>
        <v>20.1</v>
      </c>
      <c r="I10" s="35"/>
      <c r="J10" s="34"/>
      <c r="K10" s="15"/>
      <c r="L10" s="13"/>
      <c r="N10" s="15"/>
      <c r="O10" s="13"/>
      <c r="P10" s="4"/>
      <c r="Q10" s="15"/>
      <c r="R10" s="34"/>
    </row>
    <row r="11" spans="2:18" ht="12.75">
      <c r="B11" s="5" t="s">
        <v>42</v>
      </c>
      <c r="C11" s="5" t="s">
        <v>44</v>
      </c>
      <c r="D11" s="37">
        <f>F7+D10</f>
        <v>65.13270974036539</v>
      </c>
      <c r="I11" s="35" t="s">
        <v>44</v>
      </c>
      <c r="J11" s="13">
        <f>L7+Dec</f>
        <v>65.13270974036539</v>
      </c>
      <c r="K11" s="15"/>
      <c r="L11" s="34"/>
      <c r="N11" s="15" t="str">
        <f>"F"&amp;CHAR(176)&amp;"="</f>
        <v>F°=</v>
      </c>
      <c r="O11" s="34">
        <f>ROUND(ABS(D11),0)</f>
        <v>65</v>
      </c>
      <c r="P11" s="15" t="str">
        <f>"F"&amp;CHAR(39)&amp;"="</f>
        <v>F'=</v>
      </c>
      <c r="Q11" s="13">
        <f>ABS(D11)-INT(ABS(D11))</f>
        <v>0.1327097403653852</v>
      </c>
      <c r="R11" s="4">
        <f>Q11*60</f>
        <v>7.962584421923111</v>
      </c>
    </row>
    <row r="12" spans="2:21" ht="12.75">
      <c r="B12" s="5"/>
      <c r="C12" s="5"/>
      <c r="D12" s="37"/>
      <c r="I12" s="23"/>
      <c r="P12" s="15"/>
      <c r="Q12" s="13"/>
      <c r="R12" s="4"/>
      <c r="T12" s="15"/>
      <c r="U12" s="34"/>
    </row>
    <row r="13" spans="2:18" ht="12.75">
      <c r="B13" s="5"/>
      <c r="C13" s="5"/>
      <c r="D13" s="37"/>
      <c r="I13" s="23"/>
      <c r="N13" s="15"/>
      <c r="O13" s="34"/>
      <c r="P13" s="15"/>
      <c r="Q13" s="13"/>
      <c r="R13" s="4"/>
    </row>
    <row r="14" spans="2:18" ht="12.75">
      <c r="B14" s="5"/>
      <c r="C14" s="5"/>
      <c r="D14" s="37"/>
      <c r="I14" s="23"/>
      <c r="N14" s="15"/>
      <c r="O14" s="34"/>
      <c r="P14" s="15"/>
      <c r="Q14" s="13"/>
      <c r="R14" s="4"/>
    </row>
    <row r="15" spans="1:18" ht="12.75">
      <c r="A15" s="2" t="s">
        <v>57</v>
      </c>
      <c r="B15" s="1" t="s">
        <v>21</v>
      </c>
      <c r="C15" s="5"/>
      <c r="I15" s="5" t="str">
        <f>"(A"&amp;CHAR(176)&amp;",F"&amp;CHAR(176)&amp;")"</f>
        <v>(A°,F°)</v>
      </c>
      <c r="J15" s="1" t="str">
        <f>"("&amp;TEXT(O6,"00")&amp;","&amp;TEXT(O11,"00")&amp;")"</f>
        <v>(15,65)</v>
      </c>
      <c r="O15" s="34"/>
      <c r="Q15" s="13"/>
      <c r="R15" s="4"/>
    </row>
    <row r="16" spans="1:18" ht="12.75">
      <c r="A16" s="5" t="s">
        <v>33</v>
      </c>
      <c r="B16" s="1" t="str">
        <f>"("&amp;TEXT(D6,"00.00")&amp;","&amp;TEXT(D11,"00.00")&amp;")"</f>
        <v>(15.19,65.13)</v>
      </c>
      <c r="C16" s="5" t="s">
        <v>31</v>
      </c>
      <c r="D16" s="9">
        <f>rad2deg*ASIN(COS(deg2rad*D6)*SIN(deg2rad*D11))</f>
        <v>61.11224292430886</v>
      </c>
      <c r="E16" s="20" t="str">
        <f>TEXT(INT(D16),"00")&amp;CHAR(176)&amp;TEXT((D16-INT(D16))*60,"0.0")&amp;CHAR(146)</f>
        <v>61°6.7’</v>
      </c>
      <c r="I16" s="8" t="s">
        <v>31</v>
      </c>
      <c r="J16" s="37">
        <f>SIGN(J11)*rad2deg*ASIN(COS(deg2rad*O6)*SIN(deg2rad*O11))</f>
        <v>61.09544436694556</v>
      </c>
      <c r="K16" s="33" t="str">
        <f>TEXT(INT(J16),"00")&amp;CHAR(176)&amp;TEXT((J16-INT(J16))*60,"0")&amp;CHAR(146)</f>
        <v>61°6’</v>
      </c>
      <c r="L16" s="31"/>
      <c r="O16" s="34"/>
      <c r="Q16" s="13"/>
      <c r="R16" s="4"/>
    </row>
    <row r="17" spans="3:18" ht="12.75">
      <c r="C17" s="5" t="s">
        <v>11</v>
      </c>
      <c r="D17" s="37">
        <f>rad2deg*ASIN(COS(D6*deg2rad)*SIN(D18*deg2rad))</f>
        <v>57.143962013140595</v>
      </c>
      <c r="I17" s="8" t="s">
        <v>11</v>
      </c>
      <c r="J17" s="37">
        <f>rad2deg*ASIN(COS(O6*deg2rad)*SIN(J18*deg2rad))</f>
        <v>57.62441158765685</v>
      </c>
      <c r="K17" s="33" t="str">
        <f>TEXT(INT(J17),"00")&amp;CHAR(176)&amp;TEXT((J17-INT(J17))*60,"0")&amp;CHAR(146)</f>
        <v>57°37’</v>
      </c>
      <c r="L17" s="31"/>
      <c r="N17" s="15" t="str">
        <f>"P"&amp;CHAR(176)&amp;"="</f>
        <v>P°=</v>
      </c>
      <c r="O17" s="34">
        <f>ROUND(ABS(D17),0)</f>
        <v>57</v>
      </c>
      <c r="P17" s="15" t="str">
        <f>"P"&amp;CHAR(39)&amp;"="</f>
        <v>P'=</v>
      </c>
      <c r="Q17" s="13">
        <f>ABS(D17)-INT(ABS(D17))</f>
        <v>0.14396201314059454</v>
      </c>
      <c r="R17" s="4">
        <f>Q17*60</f>
        <v>8.637720788435672</v>
      </c>
    </row>
    <row r="18" spans="3:18" ht="12.75">
      <c r="C18" s="5" t="s">
        <v>27</v>
      </c>
      <c r="D18" s="37">
        <f>180/PI()*ASIN(COS(D11*deg2rad)/COS(PI()/180*D16))</f>
        <v>60.5128088672413</v>
      </c>
      <c r="I18" s="8" t="s">
        <v>27</v>
      </c>
      <c r="J18" s="17">
        <f>180/PI()*ASIN(COS(O11*deg2rad)/COS(PI()/180*J16))</f>
        <v>60.968006795477145</v>
      </c>
      <c r="L18" s="31"/>
      <c r="N18" s="15"/>
      <c r="O18" s="34"/>
      <c r="P18" s="15"/>
      <c r="Q18" s="13"/>
      <c r="R18" s="4"/>
    </row>
    <row r="19" spans="3:13" ht="12.75">
      <c r="C19" s="5"/>
      <c r="D19" s="37"/>
      <c r="F19" s="1" t="s">
        <v>22</v>
      </c>
      <c r="G19" s="31" t="str">
        <f>IF(D11&gt;90,-1*ABS(D18),"No")</f>
        <v>No</v>
      </c>
      <c r="H19" s="31"/>
      <c r="I19" s="8"/>
      <c r="J19" s="37"/>
      <c r="L19" s="1" t="s">
        <v>22</v>
      </c>
      <c r="M19" s="31" t="str">
        <f>IF(L11&gt;90,-1*ABS(J18),"No")</f>
        <v>No</v>
      </c>
    </row>
    <row r="20" spans="3:13" ht="12.75">
      <c r="C20" s="5"/>
      <c r="D20" s="37"/>
      <c r="F20" s="31" t="s">
        <v>52</v>
      </c>
      <c r="G20" s="31" t="str">
        <f>IF(D11&lt;0,180-ABS(D18),"No")</f>
        <v>No</v>
      </c>
      <c r="H20" s="31"/>
      <c r="I20" s="8"/>
      <c r="J20" s="37"/>
      <c r="L20" s="31" t="s">
        <v>52</v>
      </c>
      <c r="M20" s="31" t="str">
        <f>IF(J11&lt;0,180-ABS(J18),"No")</f>
        <v>No</v>
      </c>
    </row>
    <row r="21" spans="3:18" ht="12.75">
      <c r="C21" s="5" t="s">
        <v>27</v>
      </c>
      <c r="D21" s="37">
        <f>IF(MIN(G19:G20)=0,D18,MIN(G19:G20))</f>
        <v>60.5128088672413</v>
      </c>
      <c r="E21" s="31" t="s">
        <v>29</v>
      </c>
      <c r="I21" s="8" t="s">
        <v>27</v>
      </c>
      <c r="J21" s="17">
        <f>IF(MIN(M19:M20)=0,J18,MIN(M19:M20))</f>
        <v>60.968006795477145</v>
      </c>
      <c r="L21" s="31"/>
      <c r="N21" s="15" t="str">
        <f>"Z2"&amp;CHAR(176)&amp;"="</f>
        <v>Z2°=</v>
      </c>
      <c r="O21" s="34">
        <f>ROUND(ABS(J21),0)</f>
        <v>61</v>
      </c>
      <c r="P21" s="15" t="str">
        <f>"Z2"&amp;CHAR(39)&amp;"="</f>
        <v>Z2'=</v>
      </c>
      <c r="Q21" s="13">
        <f>ABS(J21)-INT(ABS(J21))</f>
        <v>0.9680067954771445</v>
      </c>
      <c r="R21" s="4">
        <f>Q21*60</f>
        <v>58.08040772862867</v>
      </c>
    </row>
    <row r="22" spans="3:9" ht="12.75">
      <c r="C22" s="5"/>
      <c r="D22" s="37"/>
      <c r="I22" s="23"/>
    </row>
    <row r="23" spans="3:10" ht="12.75">
      <c r="C23" s="5"/>
      <c r="D23" s="37"/>
      <c r="I23" s="2" t="s">
        <v>39</v>
      </c>
      <c r="J23" s="1" t="s">
        <v>8</v>
      </c>
    </row>
    <row r="24" spans="3:13" ht="12.75">
      <c r="C24" s="5"/>
      <c r="D24" s="37"/>
      <c r="I24" s="15" t="str">
        <f>"(F"&amp;CHAR(39)&amp;","&amp;"P"&amp;CHAR(176)&amp;")"</f>
        <v>(F',P°)</v>
      </c>
      <c r="J24" s="1" t="str">
        <f>"("&amp;TEXT(R11,"00")&amp;","&amp;TEXT(O17,"00")&amp;")"</f>
        <v>(08,57)</v>
      </c>
      <c r="K24" s="6" t="s">
        <v>16</v>
      </c>
      <c r="L24" s="12">
        <f>IF(R11&lt;31,R11*SIN($O17*PI()/180),(60-R11)*SIN($O17*PI()/180))</f>
        <v>6.677985199447641</v>
      </c>
      <c r="M24" s="1" t="str">
        <f>CHAR(39)</f>
        <v>'</v>
      </c>
    </row>
    <row r="25" spans="3:14" ht="12.75">
      <c r="C25" s="5"/>
      <c r="D25" s="37"/>
      <c r="I25" s="23"/>
      <c r="M25" s="1" t="str">
        <f>IF(AND(J11&gt;90,R11&lt;30),"Yes","No")</f>
        <v>No</v>
      </c>
      <c r="N25" s="1" t="s">
        <v>47</v>
      </c>
    </row>
    <row r="26" spans="3:14" ht="12.75">
      <c r="C26" s="5"/>
      <c r="D26" s="37"/>
      <c r="I26" s="23"/>
      <c r="M26" s="1" t="str">
        <f>IF(AND(J11&lt;90,R11&gt;29),"Yes","No")</f>
        <v>No</v>
      </c>
      <c r="N26" s="1" t="s">
        <v>23</v>
      </c>
    </row>
    <row r="27" spans="3:12" ht="12.75">
      <c r="C27" s="5"/>
      <c r="D27" s="37"/>
      <c r="I27" s="23"/>
      <c r="J27" s="1" t="s">
        <v>53</v>
      </c>
      <c r="L27" s="12">
        <f>IF(OR(M25="Yes",M26="Yes"),-1*L24,L24)</f>
        <v>6.677985199447641</v>
      </c>
    </row>
    <row r="28" spans="3:12" ht="12.75">
      <c r="C28" s="5"/>
      <c r="D28" s="37"/>
      <c r="I28" s="23"/>
      <c r="K28" s="37"/>
      <c r="L28" s="33"/>
    </row>
    <row r="29" spans="3:10" ht="12.75">
      <c r="C29" s="5"/>
      <c r="D29" s="37"/>
      <c r="I29" s="2" t="s">
        <v>5</v>
      </c>
      <c r="J29" s="1" t="s">
        <v>8</v>
      </c>
    </row>
    <row r="30" spans="3:13" ht="12.75">
      <c r="C30" s="5"/>
      <c r="D30" s="37"/>
      <c r="I30" s="15" t="str">
        <f>"(A"&amp;CHAR(39)&amp;","&amp;"Z2"&amp;CHAR(176)&amp;")"</f>
        <v>(A',Z2°)</v>
      </c>
      <c r="J30" s="1" t="str">
        <f>"("&amp;TEXT(R6,"0")&amp;","&amp;TEXT(O21,"0")&amp;")"</f>
        <v>(12,61)</v>
      </c>
      <c r="K30" s="6" t="s">
        <v>40</v>
      </c>
      <c r="L30" s="12">
        <f>IF(R6&lt;31,R6*SIN((90-$O21)*PI()/180),(60-R6)*SIN((90-$O21)*PI()/180))</f>
        <v>5.6528648628947105</v>
      </c>
      <c r="M30" s="1" t="str">
        <f>CHAR(39)</f>
        <v>'</v>
      </c>
    </row>
    <row r="31" spans="3:14" ht="12.75">
      <c r="C31" s="5"/>
      <c r="D31" s="37"/>
      <c r="I31" s="23"/>
      <c r="M31" s="1" t="str">
        <f>IF(R6&lt;30,"Yes","No")</f>
        <v>Yes</v>
      </c>
      <c r="N31" s="1" t="s">
        <v>17</v>
      </c>
    </row>
    <row r="32" spans="3:12" ht="12.75">
      <c r="C32" s="5"/>
      <c r="D32" s="37"/>
      <c r="I32" s="23"/>
      <c r="J32" s="1" t="s">
        <v>46</v>
      </c>
      <c r="L32" s="12">
        <f>IF(M31="Yes",-1*L30,L30)</f>
        <v>-5.6528648628947105</v>
      </c>
    </row>
    <row r="33" spans="1:12" ht="12.75">
      <c r="A33" s="2" t="s">
        <v>18</v>
      </c>
      <c r="B33" s="1" t="s">
        <v>19</v>
      </c>
      <c r="I33" s="23"/>
      <c r="K33" s="10"/>
      <c r="L33" s="20"/>
    </row>
    <row r="34" spans="2:9" ht="12.75">
      <c r="B34" s="5" t="s">
        <v>48</v>
      </c>
      <c r="C34" s="15" t="s">
        <v>49</v>
      </c>
      <c r="D34" s="37">
        <f>F8+D21</f>
        <v>135.84232026752946</v>
      </c>
      <c r="I34" s="23"/>
    </row>
    <row r="35" spans="9:12" ht="12.75">
      <c r="I35" s="3" t="s">
        <v>30</v>
      </c>
      <c r="J35" s="8" t="s">
        <v>31</v>
      </c>
      <c r="K35" s="37">
        <f>J16</f>
        <v>61.09544436694556</v>
      </c>
      <c r="L35" s="33" t="str">
        <f>TEXT(INT(K35),"00")&amp;CHAR(176)&amp;TEXT((K35-INT(K35))*60,"0.0")&amp;CHAR(146)</f>
        <v>61°5.7’</v>
      </c>
    </row>
    <row r="36" spans="2:11" ht="12.75">
      <c r="B36" s="1">
        <f>IF(AND(LAT&gt;0,LHA&gt;180),ABS(D34),"-")</f>
        <v>135.84232026752946</v>
      </c>
      <c r="C36" s="1" t="s">
        <v>55</v>
      </c>
      <c r="I36" s="23"/>
      <c r="J36" s="1" t="s">
        <v>6</v>
      </c>
      <c r="K36" s="4">
        <f>L27</f>
        <v>6.677985199447641</v>
      </c>
    </row>
    <row r="37" spans="2:11" ht="12.75">
      <c r="B37" s="1" t="str">
        <f>IF(AND(LAT&gt;0,LHA&lt;180),360-ABS(D34),"-")</f>
        <v>-</v>
      </c>
      <c r="C37" s="1" t="s">
        <v>32</v>
      </c>
      <c r="I37" s="23"/>
      <c r="J37" s="1" t="s">
        <v>38</v>
      </c>
      <c r="K37" s="4">
        <f>L32</f>
        <v>-5.6528648628947105</v>
      </c>
    </row>
    <row r="38" spans="2:12" ht="12.75">
      <c r="B38" s="27" t="str">
        <f>IF(AND(LAT&lt;0,LHA&gt;180),180-ABS(D$34),"-")</f>
        <v>-</v>
      </c>
      <c r="C38" s="1" t="s">
        <v>10</v>
      </c>
      <c r="I38" s="23"/>
      <c r="K38" s="10">
        <f>K35+K36/60+K37/60</f>
        <v>61.11252970588811</v>
      </c>
      <c r="L38" s="20" t="str">
        <f>TEXT(INT(K38),"00")&amp;CHAR(176)&amp;TEXT((K38-INT(K38))*60,"0.0")&amp;CHAR(146)</f>
        <v>61°6.8’</v>
      </c>
    </row>
    <row r="39" spans="2:9" ht="12.75">
      <c r="B39" s="1" t="str">
        <f>IF(AND(LAT&lt;0,LHA&lt;180),180+ABS(D$34),"-")</f>
        <v>-</v>
      </c>
      <c r="C39" s="1" t="s">
        <v>41</v>
      </c>
      <c r="I39" s="23"/>
    </row>
    <row r="40" spans="2:12" ht="15">
      <c r="B40" s="16">
        <f>MAX(B36:B39)</f>
        <v>135.84232026752946</v>
      </c>
      <c r="C40" s="20" t="str">
        <f>TEXT(INT(B40),"00")&amp;CHAR(176)&amp;TEXT((B40-INT(B40))*60,"0.0")&amp;CHAR(146)</f>
        <v>135°50.5’</v>
      </c>
      <c r="I40" s="2" t="s">
        <v>18</v>
      </c>
      <c r="J40" s="1" t="s">
        <v>19</v>
      </c>
      <c r="L40" s="34"/>
    </row>
    <row r="41" spans="10:12" ht="12.75">
      <c r="J41" s="5" t="s">
        <v>48</v>
      </c>
      <c r="K41" s="15" t="s">
        <v>49</v>
      </c>
      <c r="L41" s="37">
        <f>L8+J21</f>
        <v>136.2975181957653</v>
      </c>
    </row>
    <row r="42" spans="1:3" ht="12.75">
      <c r="A42" s="11" t="s">
        <v>26</v>
      </c>
      <c r="B42" s="25">
        <f>ASIN(SIN(latpi)*SIN(decpi)+COS(latpi)*COS(decpi)*COS(lhapi))*180/PI()</f>
        <v>61.112242924308845</v>
      </c>
      <c r="C42" s="20" t="str">
        <f>TEXT(INT(B42),"00")&amp;CHAR(176)&amp;TEXT((B42-INT(B42))*60,"0.0")&amp;CHAR(146)</f>
        <v>61°6.7’</v>
      </c>
    </row>
    <row r="43" spans="1:4" ht="12.75">
      <c r="A43" s="19" t="s">
        <v>54</v>
      </c>
      <c r="B43" s="36">
        <f>180+180/PI()*ATAN2(COS(lhapi)*SIN(latpi)-TAN(decpi)*COS(latpi),SIN(lhapi))</f>
        <v>135.8423202675295</v>
      </c>
      <c r="C43" s="20" t="str">
        <f>TEXT(INT(B43),"00")&amp;CHAR(176)&amp;TEXT((B43-INT(B43))*60,"0.0")&amp;CHAR(146)</f>
        <v>135°50.5’</v>
      </c>
      <c r="D43" s="26" t="s">
        <v>56</v>
      </c>
    </row>
  </sheetData>
  <printOptions gridLines="1"/>
  <pageMargins left="0.75" right="0.75" top="1" bottom="1" header="0.5" footer="0.5"/>
  <pageSetup fitToHeight="1" fitToWidth="1" horizontalDpi="600" verticalDpi="600" orientation="portrait" paperSize="9" scale="57"/>
  <headerFooter alignWithMargins="0">
    <oddHeader>&amp;L&amp;[TAB]</oddHeader>
    <oddFooter>&amp;LPage &amp;[PAGE]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"/>
  <sheetViews>
    <sheetView zoomScaleSheetLayoutView="1" workbookViewId="0" topLeftCell="A1">
      <selection activeCell="A7" sqref="A7"/>
    </sheetView>
  </sheetViews>
  <sheetFormatPr defaultColWidth="9.140625" defaultRowHeight="12.75"/>
  <cols>
    <col min="1" max="1" width="8.7109375" style="1" customWidth="1"/>
    <col min="2" max="2" width="7.140625" style="1" customWidth="1"/>
    <col min="3" max="3" width="6.7109375" style="1" customWidth="1"/>
    <col min="4" max="4" width="9.7109375" style="1" customWidth="1"/>
    <col min="5" max="5" width="6.28125" style="1" customWidth="1"/>
    <col min="6" max="6" width="7.57421875" style="1" customWidth="1"/>
    <col min="7" max="7" width="6.7109375" style="1" customWidth="1"/>
    <col min="8" max="8" width="7.28125" style="1" customWidth="1"/>
    <col min="9" max="9" width="6.421875" style="1" customWidth="1"/>
    <col min="10" max="256" width="9.00390625" style="1" customWidth="1"/>
  </cols>
  <sheetData>
    <row r="1" spans="1:8" ht="12.75">
      <c r="A1" s="1" t="s">
        <v>58</v>
      </c>
      <c r="H1" s="1" t="s">
        <v>62</v>
      </c>
    </row>
    <row r="2" spans="1:8" ht="12.75">
      <c r="A2" s="1" t="s">
        <v>74</v>
      </c>
      <c r="H2" s="1" t="s">
        <v>59</v>
      </c>
    </row>
    <row r="4" ht="13.5"/>
    <row r="5" spans="3:4" ht="14.25">
      <c r="C5" s="2" t="s">
        <v>72</v>
      </c>
      <c r="D5" s="40">
        <v>43</v>
      </c>
    </row>
    <row r="6" spans="1:256" ht="14.25">
      <c r="A6" s="39" t="s">
        <v>67</v>
      </c>
      <c r="B6" s="39" t="s">
        <v>68</v>
      </c>
      <c r="C6" s="43"/>
      <c r="D6" s="39" t="s">
        <v>69</v>
      </c>
      <c r="E6" s="39" t="s">
        <v>70</v>
      </c>
      <c r="F6" s="39" t="s">
        <v>71</v>
      </c>
      <c r="G6" s="39"/>
      <c r="H6" s="39" t="s">
        <v>67</v>
      </c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</row>
    <row r="7" spans="1:256" ht="14.25">
      <c r="A7" s="40">
        <v>339</v>
      </c>
      <c r="B7" s="41">
        <f>180-A7</f>
        <v>-159</v>
      </c>
      <c r="C7" s="41"/>
      <c r="D7" s="45">
        <f>180/PI()*ABS(ASIN(COS(D5*PI()/180)*SIN(B7*PI()/180)))</f>
        <v>15.194332807038144</v>
      </c>
      <c r="E7" s="41">
        <f>180/PI()*ABS(ASIN(COS(D5*PI()/180)*SIN(PI()/180*F7)))</f>
        <v>45.032709740365384</v>
      </c>
      <c r="F7" s="45">
        <f>180/PI()*ABS(ASIN(COS(A7*PI()/180)/COS(PI()/180*D7)))</f>
        <v>75.32951140028813</v>
      </c>
      <c r="G7" s="41"/>
      <c r="H7" s="41">
        <f>180+A7</f>
        <v>519</v>
      </c>
      <c r="I7" s="41">
        <f>360-A7</f>
        <v>21</v>
      </c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</row>
    <row r="8" spans="1:9" ht="13.5">
      <c r="A8" s="41">
        <f>A7+1</f>
        <v>340</v>
      </c>
      <c r="B8" s="41">
        <f>180-A8</f>
        <v>-160</v>
      </c>
      <c r="C8" s="41"/>
      <c r="D8" s="45">
        <f>180/PI()*ABS(ASIN(COS(D5*PI()/180)*SIN(B8*PI()/180)))</f>
        <v>14.485660581936619</v>
      </c>
      <c r="E8" s="41">
        <f>180/PI()*ABS(ASIN(COS(D5*PI()/180)*SIN(PI()/180*F8)))</f>
        <v>45.219655344014186</v>
      </c>
      <c r="F8" s="45">
        <f>180/PI()*ABS(ASIN(COS(A8*PI()/180)/COS(PI()/180*D8)))</f>
        <v>76.05940059780744</v>
      </c>
      <c r="G8" s="41"/>
      <c r="H8" s="41">
        <f>180+A8</f>
        <v>520</v>
      </c>
      <c r="I8" s="41">
        <f>360-A8</f>
        <v>20</v>
      </c>
    </row>
    <row r="11" spans="1:9" ht="12.75">
      <c r="A11" s="1" t="s">
        <v>61</v>
      </c>
      <c r="B11" s="1" t="s">
        <v>63</v>
      </c>
      <c r="H11" s="1" t="s">
        <v>65</v>
      </c>
      <c r="I11" s="1" t="s">
        <v>66</v>
      </c>
    </row>
    <row r="12" spans="2:9" ht="12.75">
      <c r="B12" s="1" t="s">
        <v>60</v>
      </c>
      <c r="I12" s="1" t="s">
        <v>64</v>
      </c>
    </row>
    <row r="15" ht="12.75">
      <c r="A15" s="1" t="s">
        <v>73</v>
      </c>
    </row>
    <row r="16" spans="3:4" ht="12.75">
      <c r="C16" s="2" t="s">
        <v>72</v>
      </c>
      <c r="D16" s="41">
        <f>D5</f>
        <v>43</v>
      </c>
    </row>
    <row r="17" spans="1:11" ht="12.75">
      <c r="A17" s="39" t="s">
        <v>67</v>
      </c>
      <c r="B17" s="39" t="s">
        <v>68</v>
      </c>
      <c r="C17" s="43"/>
      <c r="D17" s="39" t="s">
        <v>69</v>
      </c>
      <c r="F17" s="39" t="s">
        <v>70</v>
      </c>
      <c r="H17" s="39" t="s">
        <v>71</v>
      </c>
      <c r="I17" s="39"/>
      <c r="J17" s="39" t="s">
        <v>67</v>
      </c>
      <c r="K17" s="39"/>
    </row>
    <row r="18" spans="1:11" ht="12.75">
      <c r="A18" s="41">
        <f>A7</f>
        <v>339</v>
      </c>
      <c r="B18" s="41">
        <f>180-A18</f>
        <v>-159</v>
      </c>
      <c r="C18" s="41"/>
      <c r="D18" s="42">
        <f>SIGN(D7)*INT(ABS(D7))</f>
        <v>15</v>
      </c>
      <c r="E18" s="37" t="str">
        <f>CHAR(176)&amp;TEXT(ABS(D7-D18)*60,0)&amp;CHAR(39)</f>
        <v>°12'</v>
      </c>
      <c r="F18" s="42">
        <f>SIGN(E7)*INT(ABS(E7))</f>
        <v>45</v>
      </c>
      <c r="G18" s="37" t="str">
        <f>CHAR(176)&amp;TEXT(ABS(E7-F18)*60,0)&amp;CHAR(39)</f>
        <v>°2'</v>
      </c>
      <c r="H18" s="44">
        <f>F7</f>
        <v>75.32951140028813</v>
      </c>
      <c r="I18" s="45"/>
      <c r="J18" s="41">
        <f>180+A18</f>
        <v>519</v>
      </c>
      <c r="K18" s="41">
        <f>360-A18</f>
        <v>21</v>
      </c>
    </row>
    <row r="19" spans="1:11" ht="12.75">
      <c r="A19" s="41">
        <f>A18+1</f>
        <v>340</v>
      </c>
      <c r="B19" s="41">
        <f>180-A19</f>
        <v>-160</v>
      </c>
      <c r="C19" s="41"/>
      <c r="D19" s="42">
        <f>SIGN(D8)*INT(ABS(D8))</f>
        <v>14</v>
      </c>
      <c r="E19" s="37" t="str">
        <f>CHAR(176)&amp;TEXT(ABS(D8-D19)*60,0)&amp;CHAR(39)</f>
        <v>°29'</v>
      </c>
      <c r="F19" s="42">
        <f>SIGN(E8)*INT(ABS(E8))</f>
        <v>45</v>
      </c>
      <c r="G19" s="37" t="str">
        <f>CHAR(176)&amp;TEXT(ABS(E8-F19)*60,0)&amp;CHAR(39)</f>
        <v>°13'</v>
      </c>
      <c r="H19" s="44">
        <f>F8</f>
        <v>76.05940059780744</v>
      </c>
      <c r="I19" s="45"/>
      <c r="J19" s="41">
        <f>180+A19</f>
        <v>520</v>
      </c>
      <c r="K19" s="41">
        <f>360-A19</f>
        <v>20</v>
      </c>
    </row>
  </sheetData>
  <printOptions gridLines="1"/>
  <pageMargins left="0.75" right="0.75" top="1" bottom="1" header="0.5" footer="0.5"/>
  <pageSetup horizontalDpi="600" verticalDpi="600" orientation="portrait" paperSize="9"/>
  <headerFooter alignWithMargins="0">
    <oddHeader>&amp;L&amp;[TAB]</oddHeader>
    <oddFooter>&amp;LPage &amp;[PAGE]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" workbookViewId="0" topLeftCell="A1">
      <selection activeCell="A11" sqref="A11"/>
    </sheetView>
  </sheetViews>
  <sheetFormatPr defaultColWidth="9.140625" defaultRowHeight="12.75"/>
  <cols>
    <col min="1" max="1" width="7.421875" style="1" customWidth="1"/>
    <col min="2" max="2" width="5.57421875" style="1" customWidth="1"/>
    <col min="3" max="3" width="5.421875" style="1" customWidth="1"/>
    <col min="4" max="4" width="5.7109375" style="1" customWidth="1"/>
    <col min="5" max="5" width="2.57421875" style="1" customWidth="1"/>
    <col min="6" max="6" width="9.140625" style="1" customWidth="1"/>
  </cols>
  <sheetData>
    <row r="1" spans="1:6" ht="12.75">
      <c r="A1" s="1" t="s">
        <v>75</v>
      </c>
      <c r="F1" s="1" t="s">
        <v>76</v>
      </c>
    </row>
    <row r="2" ht="12.75">
      <c r="A2" s="1" t="s">
        <v>81</v>
      </c>
    </row>
    <row r="4" spans="2:4" ht="15.75">
      <c r="B4" s="46" t="str">
        <f>CHAR(39)</f>
        <v>'</v>
      </c>
      <c r="C4" s="46" t="str">
        <f>CHAR(39)</f>
        <v>'</v>
      </c>
      <c r="D4" s="46" t="str">
        <f>CHAR(39)</f>
        <v>'</v>
      </c>
    </row>
    <row r="5" spans="1:4" ht="12.75">
      <c r="A5" s="47" t="s">
        <v>79</v>
      </c>
      <c r="B5" s="48">
        <v>14</v>
      </c>
      <c r="C5" s="41">
        <f>IF(B5&lt;31,B5+1,"Nxt Ln")</f>
        <v>15</v>
      </c>
      <c r="D5" s="41">
        <f>B5+2</f>
        <v>16</v>
      </c>
    </row>
    <row r="6" spans="1:6" ht="12.75">
      <c r="A6" s="41"/>
      <c r="B6" s="41">
        <f>60-B5</f>
        <v>46</v>
      </c>
      <c r="C6" s="41">
        <f>60-C5</f>
        <v>45</v>
      </c>
      <c r="D6" s="41">
        <f>60-D5</f>
        <v>44</v>
      </c>
      <c r="E6" s="41"/>
      <c r="F6" s="41"/>
    </row>
    <row r="8" spans="1:6" ht="12.75">
      <c r="A8" s="39" t="s">
        <v>77</v>
      </c>
      <c r="F8" s="39" t="s">
        <v>78</v>
      </c>
    </row>
    <row r="9" spans="1:6" ht="17.25" customHeight="1">
      <c r="A9" s="46" t="str">
        <f>CHAR(176)</f>
        <v>°</v>
      </c>
      <c r="B9" s="46" t="str">
        <f>CHAR(39)</f>
        <v>'</v>
      </c>
      <c r="C9" s="46" t="str">
        <f>CHAR(39)</f>
        <v>'</v>
      </c>
      <c r="D9" s="46" t="str">
        <f>CHAR(39)</f>
        <v>'</v>
      </c>
      <c r="F9" s="46" t="str">
        <f>CHAR(176)</f>
        <v>°</v>
      </c>
    </row>
    <row r="10" spans="1:6" ht="12.75">
      <c r="A10" s="48">
        <v>46</v>
      </c>
      <c r="B10" s="6">
        <f>B5*SIN($A10*PI()/180)</f>
        <v>10.070757204741115</v>
      </c>
      <c r="C10" s="6">
        <f>C5*SIN($A10*PI()/180)</f>
        <v>10.790097005079765</v>
      </c>
      <c r="D10" s="6">
        <f>D5*SIN($A10*PI()/180)</f>
        <v>11.509436805418417</v>
      </c>
      <c r="F10" s="41">
        <f>90-A10</f>
        <v>44</v>
      </c>
    </row>
    <row r="11" spans="1:6" ht="12.75">
      <c r="A11" s="41">
        <f>A10+1</f>
        <v>47</v>
      </c>
      <c r="B11" s="6">
        <f>B5*SIN($A11*PI()/180)</f>
        <v>10.238951822668387</v>
      </c>
      <c r="C11" s="6">
        <f>C5*SIN($A11*PI()/180)</f>
        <v>10.970305524287557</v>
      </c>
      <c r="D11" s="6">
        <f>D5*SIN($A11*PI()/180)</f>
        <v>11.701659225906727</v>
      </c>
      <c r="F11" s="41">
        <f>90-A11</f>
        <v>43</v>
      </c>
    </row>
    <row r="12" spans="1:6" ht="12.75">
      <c r="A12" s="41">
        <f>A10+2</f>
        <v>48</v>
      </c>
      <c r="B12" s="6">
        <f>B5*SIN($A12*PI()/180)</f>
        <v>10.404027556683518</v>
      </c>
      <c r="C12" s="6">
        <f>C5*SIN($A12*PI()/180)</f>
        <v>11.147172382160912</v>
      </c>
      <c r="D12" s="6">
        <f>D5*SIN($A12*PI()/180)</f>
        <v>11.890317207638306</v>
      </c>
      <c r="F12" s="41">
        <f>90-A12</f>
        <v>42</v>
      </c>
    </row>
    <row r="13" spans="1:6" ht="12.75">
      <c r="A13" s="41">
        <f>A11+2</f>
        <v>49</v>
      </c>
      <c r="B13" s="6">
        <f>B5*SIN($A13*PI()/180)</f>
        <v>10.565934123118808</v>
      </c>
      <c r="C13" s="6">
        <f>C5*SIN($A13*PI()/180)</f>
        <v>11.320643703341581</v>
      </c>
      <c r="D13" s="6">
        <f>D5*SIN($A13*PI()/180)</f>
        <v>12.075353283564352</v>
      </c>
      <c r="F13" s="41">
        <f>90-A13</f>
        <v>41</v>
      </c>
    </row>
    <row r="14" spans="1:6" ht="12.75">
      <c r="A14" s="41">
        <f>A12+2</f>
        <v>50</v>
      </c>
      <c r="B14" s="6">
        <f>B5*SIN($A14*PI()/180)</f>
        <v>10.724622203665692</v>
      </c>
      <c r="C14" s="6">
        <f>C5*SIN($A14*PI()/180)</f>
        <v>11.49066664678467</v>
      </c>
      <c r="D14" s="6">
        <f>D5*SIN($A14*PI()/180)</f>
        <v>12.256711089903648</v>
      </c>
      <c r="F14" s="41">
        <f>90-A14</f>
        <v>40</v>
      </c>
    </row>
    <row r="16" spans="1:6" ht="12.75">
      <c r="A16" s="1" t="s">
        <v>80</v>
      </c>
      <c r="F16" s="1" t="s">
        <v>82</v>
      </c>
    </row>
  </sheetData>
  <printOptions/>
  <pageMargins left="0.75" right="0.75" top="1" bottom="1" header="0.5" footer="0.5"/>
  <pageSetup horizontalDpi="600" verticalDpi="600" orientation="portrait" paperSize="9"/>
  <headerFooter alignWithMargins="0">
    <oddHeader>&amp;L&amp;[TAB]</oddHeader>
    <oddFooter>&amp;LPage &amp;[PAGE]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WaldenDA</cp:lastModifiedBy>
  <cp:lastPrinted>2003-06-02T18:33:54Z</cp:lastPrinted>
  <dcterms:created xsi:type="dcterms:W3CDTF">2003-06-04T14:37:09Z</dcterms:created>
  <dcterms:modified xsi:type="dcterms:W3CDTF">2003-06-02T01:45:35Z</dcterms:modified>
  <cp:category/>
  <cp:version/>
  <cp:contentType/>
  <cp:contentStatus/>
</cp:coreProperties>
</file>