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4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<sst xmlns="http://schemas.openxmlformats.org/spreadsheetml/2006/main" count="103" uniqueCount="80">
  <si>
    <t>eps tauri</t>
  </si>
  <si>
    <t>lat deg</t>
  </si>
  <si>
    <t>LMST</t>
  </si>
  <si>
    <t>added deltas from pg445</t>
  </si>
  <si>
    <t>GMST</t>
  </si>
  <si>
    <t>INPUT</t>
  </si>
  <si>
    <t>delta tau -</t>
  </si>
  <si>
    <t>delta tau 1 -</t>
  </si>
  <si>
    <t>const log</t>
  </si>
  <si>
    <t>tau -</t>
  </si>
  <si>
    <t>N</t>
  </si>
  <si>
    <t>M</t>
  </si>
  <si>
    <t>xi prime</t>
  </si>
  <si>
    <t>mu=sid:mean</t>
  </si>
  <si>
    <t>delta alpha</t>
  </si>
  <si>
    <t>rho</t>
  </si>
  <si>
    <t>pi</t>
  </si>
  <si>
    <t>dec</t>
  </si>
  <si>
    <t>INTERMEDIATE</t>
  </si>
  <si>
    <t>T+t</t>
  </si>
  <si>
    <t>delta tau 1 - -delta tau 2</t>
  </si>
  <si>
    <t>1/(n cos psi)</t>
  </si>
  <si>
    <t>n</t>
  </si>
  <si>
    <t>m</t>
  </si>
  <si>
    <t>x</t>
  </si>
  <si>
    <t>pg 569 NA 1902</t>
  </si>
  <si>
    <t>diff</t>
  </si>
  <si>
    <t>rho sin phi prime</t>
  </si>
  <si>
    <t>H at wash</t>
  </si>
  <si>
    <t>% for =RA</t>
  </si>
  <si>
    <t>emersion</t>
  </si>
  <si>
    <t>tau sq</t>
  </si>
  <si>
    <t>sin phi</t>
  </si>
  <si>
    <t>n sin N</t>
  </si>
  <si>
    <t>m sin M</t>
  </si>
  <si>
    <t>eta1</t>
  </si>
  <si>
    <t>t</t>
  </si>
  <si>
    <t>ho at albany</t>
  </si>
  <si>
    <t>time of =RA</t>
  </si>
  <si>
    <t>&lt;=</t>
  </si>
  <si>
    <t>OLD</t>
  </si>
  <si>
    <t>tan N</t>
  </si>
  <si>
    <t>tan M</t>
  </si>
  <si>
    <t>NA</t>
  </si>
  <si>
    <t>eta</t>
  </si>
  <si>
    <t>Y=yo?</t>
  </si>
  <si>
    <t>reduced lat=phi prime</t>
  </si>
  <si>
    <t>wash time of =RA</t>
  </si>
  <si>
    <t>deg</t>
  </si>
  <si>
    <t>sid time</t>
  </si>
  <si>
    <t>RA</t>
  </si>
  <si>
    <t>COMPARE</t>
  </si>
  <si>
    <t>delta tau 2 -</t>
  </si>
  <si>
    <t>tau +</t>
  </si>
  <si>
    <t>sin N</t>
  </si>
  <si>
    <t>switched tau- and tau + to different/other delta tau's and improved! Look correct.</t>
  </si>
  <si>
    <t>cos M</t>
  </si>
  <si>
    <t>eta prime</t>
  </si>
  <si>
    <t>to</t>
  </si>
  <si>
    <t>delta delta</t>
  </si>
  <si>
    <t>omega=long</t>
  </si>
  <si>
    <t>lambda albany to wash</t>
  </si>
  <si>
    <t>moon</t>
  </si>
  <si>
    <t>long hr</t>
  </si>
  <si>
    <t>calculate</t>
  </si>
  <si>
    <t>CONSTANT</t>
  </si>
  <si>
    <t>immersion</t>
  </si>
  <si>
    <t>y</t>
  </si>
  <si>
    <t>xi</t>
  </si>
  <si>
    <t>xprime</t>
  </si>
  <si>
    <t>rho cos phi prime</t>
  </si>
  <si>
    <t>to use modern eq</t>
  </si>
  <si>
    <t>phi</t>
  </si>
  <si>
    <t>n cos N</t>
  </si>
  <si>
    <t>m cos M</t>
  </si>
  <si>
    <t>eta2</t>
  </si>
  <si>
    <t>yprime</t>
  </si>
  <si>
    <t>xi o</t>
  </si>
  <si>
    <t>phi=lat</t>
  </si>
  <si>
    <t>wash lat as time</t>
  </si>
</sst>
</file>

<file path=xl/styles.xml><?xml version="1.0" encoding="utf-8"?>
<styleSheet xmlns="http://schemas.openxmlformats.org/spreadsheetml/2006/main">
  <numFmts count="1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"/>
    <numFmt numFmtId="51" formatCode="0.00####"/>
    <numFmt numFmtId="52" formatCode="0.00000"/>
    <numFmt numFmtId="53" formatCode="0.######"/>
    <numFmt numFmtId="54" formatCode="0.#####"/>
    <numFmt numFmtId="55" formatCode="0.##"/>
    <numFmt numFmtId="56" formatCode="0.0####"/>
    <numFmt numFmtId="57" formatCode="0.0000E+00"/>
    <numFmt numFmtId="58" formatCode="0.#"/>
    <numFmt numFmtId="59" formatCode="0.####"/>
  </numFmts>
  <fonts count="14">
    <font>
      <sz val="10"/>
      <color indexed="8"/>
      <name val="Sans"/>
      <family val="0"/>
    </font>
    <font>
      <b/>
      <sz val="10"/>
      <color indexed="10"/>
      <name val="Sans"/>
      <family val="0"/>
    </font>
    <font>
      <b/>
      <sz val="10"/>
      <color indexed="12"/>
      <name val="Arial"/>
      <family val="0"/>
    </font>
    <font>
      <sz val="10"/>
      <color indexed="14"/>
      <name val="Sans"/>
      <family val="0"/>
    </font>
    <font>
      <b/>
      <sz val="10"/>
      <color indexed="17"/>
      <name val="Sans"/>
      <family val="0"/>
    </font>
    <font>
      <b/>
      <sz val="10"/>
      <color indexed="57"/>
      <name val="Sans"/>
      <family val="0"/>
    </font>
    <font>
      <sz val="10"/>
      <color indexed="8"/>
      <name val="Arial"/>
      <family val="0"/>
    </font>
    <font>
      <b/>
      <sz val="10"/>
      <color indexed="17"/>
      <name val="Arial"/>
      <family val="0"/>
    </font>
    <font>
      <b/>
      <sz val="10"/>
      <color indexed="12"/>
      <name val="Sans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14"/>
      <name val="Arial"/>
      <family val="0"/>
    </font>
    <font>
      <sz val="10"/>
      <name val="Sans"/>
      <family val="0"/>
    </font>
    <font>
      <b/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2" fontId="6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indent="1"/>
      <protection/>
    </xf>
    <xf numFmtId="56" fontId="0" fillId="0" borderId="0" xfId="0" applyNumberFormat="1" applyFont="1" applyFill="1" applyBorder="1" applyAlignment="1" applyProtection="1">
      <alignment/>
      <protection/>
    </xf>
    <xf numFmtId="56" fontId="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53" fontId="3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59" fontId="3" fillId="0" borderId="0" xfId="0" applyNumberFormat="1" applyFont="1" applyFill="1" applyBorder="1" applyAlignment="1" applyProtection="1">
      <alignment/>
      <protection/>
    </xf>
    <xf numFmtId="5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55" fontId="1" fillId="0" borderId="0" xfId="0" applyNumberFormat="1" applyFont="1" applyFill="1" applyBorder="1" applyAlignment="1" applyProtection="1">
      <alignment/>
      <protection/>
    </xf>
    <xf numFmtId="54" fontId="0" fillId="0" borderId="0" xfId="0" applyNumberFormat="1" applyFont="1" applyFill="1" applyBorder="1" applyAlignment="1" applyProtection="1">
      <alignment/>
      <protection/>
    </xf>
    <xf numFmtId="50" fontId="3" fillId="0" borderId="0" xfId="0" applyNumberFormat="1" applyFont="1" applyFill="1" applyBorder="1" applyAlignment="1" applyProtection="1">
      <alignment/>
      <protection/>
    </xf>
    <xf numFmtId="53" fontId="0" fillId="0" borderId="0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52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/>
      <protection/>
    </xf>
    <xf numFmtId="56" fontId="3" fillId="0" borderId="0" xfId="0" applyNumberFormat="1" applyFont="1" applyFill="1" applyBorder="1" applyAlignment="1" applyProtection="1">
      <alignment/>
      <protection/>
    </xf>
    <xf numFmtId="57" fontId="0" fillId="0" borderId="0" xfId="0" applyNumberFormat="1" applyFont="1" applyFill="1" applyBorder="1" applyAlignment="1" applyProtection="1">
      <alignment/>
      <protection/>
    </xf>
    <xf numFmtId="54" fontId="3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/>
      <protection/>
    </xf>
    <xf numFmtId="54" fontId="9" fillId="0" borderId="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58" fontId="0" fillId="0" borderId="0" xfId="0" applyNumberFormat="1" applyFont="1" applyFill="1" applyBorder="1" applyAlignment="1" applyProtection="1">
      <alignment/>
      <protection/>
    </xf>
    <xf numFmtId="55" fontId="0" fillId="0" borderId="0" xfId="0" applyNumberFormat="1" applyFont="1" applyFill="1" applyBorder="1" applyAlignment="1" applyProtection="1">
      <alignment/>
      <protection/>
    </xf>
    <xf numFmtId="50" fontId="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50" fontId="12" fillId="0" borderId="0" xfId="0" applyNumberFormat="1" applyFont="1" applyFill="1" applyBorder="1" applyAlignment="1" applyProtection="1">
      <alignment/>
      <protection/>
    </xf>
    <xf numFmtId="51" fontId="3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Sheet1!$A$2:$A$10</c:f>
              <c:strCache/>
            </c:strRef>
          </c:xVal>
          <c:yVal>
            <c:numRef>
              <c:f>Sheet1!$E$2:$E$10</c:f>
              <c:numCache/>
            </c:numRef>
          </c:yVal>
          <c:smooth val="0"/>
        </c:ser>
        <c:axId val="33575679"/>
        <c:axId val="33745656"/>
      </c:scatterChart>
      <c:val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5656"/>
        <c:crosses val="autoZero"/>
        <c:crossBetween val="midCat"/>
        <c:dispUnits/>
      </c:valAx>
      <c:valAx>
        <c:axId val="33745656"/>
        <c:scaling>
          <c:orientation val="minMax"/>
          <c:max val="4.4"/>
          <c:min val="4.35"/>
        </c:scaling>
        <c:axPos val="l"/>
        <c:delete val="0"/>
        <c:numFmt formatCode="General" sourceLinked="1"/>
        <c:majorTickMark val="out"/>
        <c:minorTickMark val="none"/>
        <c:tickLblPos val="nextTo"/>
        <c:crossAx val="3357567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76200</xdr:rowOff>
    </xdr:from>
    <xdr:to>
      <xdr:col>11</xdr:col>
      <xdr:colOff>685800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8391525" y="76200"/>
        <a:ext cx="25622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SheetLayoutView="1" workbookViewId="0" topLeftCell="A65">
      <selection activeCell="G78" sqref="G78"/>
    </sheetView>
  </sheetViews>
  <sheetFormatPr defaultColWidth="9.00390625" defaultRowHeight="12.75"/>
  <cols>
    <col min="1" max="1" width="24.00390625" style="24" customWidth="1"/>
    <col min="2" max="2" width="15.875" style="24" customWidth="1"/>
    <col min="3" max="3" width="11.375" style="24" customWidth="1"/>
    <col min="4" max="6" width="9.125" style="24" customWidth="1"/>
    <col min="7" max="7" width="13.25390625" style="24" customWidth="1"/>
    <col min="8" max="8" width="15.50390625" style="24" customWidth="1"/>
    <col min="9" max="12" width="9.125" style="24" customWidth="1"/>
    <col min="13" max="15" width="9.125" style="1" customWidth="1"/>
  </cols>
  <sheetData>
    <row r="1" spans="1:7" ht="12.75">
      <c r="A1" s="24" t="s">
        <v>0</v>
      </c>
      <c r="D1" s="24" t="s">
        <v>3</v>
      </c>
      <c r="G1" s="27" t="s">
        <v>5</v>
      </c>
    </row>
    <row r="2" spans="1:7" ht="12.75">
      <c r="A2" s="24">
        <f>A6-B12</f>
        <v>15.700600884505452</v>
      </c>
      <c r="B2" s="27">
        <v>4</v>
      </c>
      <c r="C2" s="27">
        <v>22</v>
      </c>
      <c r="D2" s="6">
        <f>53.585+3.4992*G9/365.25+1.97</f>
        <v>55.73702546201232</v>
      </c>
      <c r="E2" s="3">
        <f>B2+C2/60+D2/3600</f>
        <v>4.382149173739448</v>
      </c>
      <c r="F2" s="3"/>
      <c r="G2" s="37" t="s">
        <v>51</v>
      </c>
    </row>
    <row r="3" spans="2:7" ht="12.75">
      <c r="B3" s="27">
        <v>18</v>
      </c>
      <c r="C3" s="27">
        <v>57</v>
      </c>
      <c r="D3" s="6">
        <f>47.84+8.208*G9/365.25+3</f>
        <v>51.26697330595483</v>
      </c>
      <c r="E3" s="3">
        <f>B3+C3/60+D3/3600</f>
        <v>18.96424082591832</v>
      </c>
      <c r="F3" s="3"/>
      <c r="G3" s="24" t="s">
        <v>18</v>
      </c>
    </row>
    <row r="4" spans="1:7" ht="12.75">
      <c r="A4" s="24" t="s">
        <v>62</v>
      </c>
      <c r="E4" s="3"/>
      <c r="F4" s="3"/>
      <c r="G4" s="16" t="s">
        <v>65</v>
      </c>
    </row>
    <row r="5" spans="5:6" ht="12.75">
      <c r="E5" s="3"/>
      <c r="F5" s="3"/>
    </row>
    <row r="6" spans="1:8" ht="12.75">
      <c r="A6" s="27">
        <v>15</v>
      </c>
      <c r="B6" s="27">
        <v>4</v>
      </c>
      <c r="C6" s="27">
        <v>21</v>
      </c>
      <c r="D6" s="27">
        <v>8.44</v>
      </c>
      <c r="E6" s="43">
        <f>B6+C6/60+D6/3600</f>
        <v>4.352344444444444</v>
      </c>
      <c r="F6" s="3" t="s">
        <v>50</v>
      </c>
      <c r="H6" s="24" t="s">
        <v>71</v>
      </c>
    </row>
    <row r="7" spans="1:8" ht="12.75">
      <c r="A7" s="4"/>
      <c r="B7" s="27">
        <v>19</v>
      </c>
      <c r="C7" s="27">
        <v>12</v>
      </c>
      <c r="D7" s="27">
        <v>59.6</v>
      </c>
      <c r="E7" s="43">
        <f>B7+C7/60+D7/3600</f>
        <v>19.216555555555555</v>
      </c>
      <c r="F7" s="3" t="s">
        <v>17</v>
      </c>
      <c r="G7" s="13">
        <v>1902</v>
      </c>
      <c r="H7" s="30">
        <v>1902</v>
      </c>
    </row>
    <row r="8" spans="5:8" ht="12.75">
      <c r="E8" s="43"/>
      <c r="F8" s="3"/>
      <c r="G8" s="7">
        <v>1</v>
      </c>
      <c r="H8" s="35">
        <v>1</v>
      </c>
    </row>
    <row r="9" spans="1:8" ht="12.75">
      <c r="A9" s="27">
        <v>16</v>
      </c>
      <c r="B9" s="27">
        <v>4</v>
      </c>
      <c r="C9" s="27">
        <v>23</v>
      </c>
      <c r="D9" s="27">
        <v>41.59</v>
      </c>
      <c r="E9" s="43">
        <f>B9+C9/60+D9/3600</f>
        <v>4.394886111111112</v>
      </c>
      <c r="F9" s="3" t="s">
        <v>50</v>
      </c>
      <c r="G9" s="7">
        <v>19</v>
      </c>
      <c r="H9" s="35">
        <f>IF(G11&gt;24,G9+1,G9)</f>
        <v>20</v>
      </c>
    </row>
    <row r="10" spans="1:8" ht="12.75">
      <c r="A10" s="4"/>
      <c r="B10" s="27">
        <v>19</v>
      </c>
      <c r="C10" s="27">
        <v>16</v>
      </c>
      <c r="D10" s="27">
        <v>8.3</v>
      </c>
      <c r="E10" s="43">
        <f>B10+C10/60+D10/3600</f>
        <v>19.26897222222222</v>
      </c>
      <c r="F10" s="3" t="s">
        <v>17</v>
      </c>
      <c r="G10" s="7"/>
      <c r="H10" s="35"/>
    </row>
    <row r="11" spans="5:8" ht="12.75">
      <c r="E11" s="3"/>
      <c r="F11" s="3"/>
      <c r="G11" s="42">
        <f>A2+12</f>
        <v>27.70060088450545</v>
      </c>
      <c r="H11" s="42">
        <f>IF(G11&gt;24,G11-24,G11)</f>
        <v>3.7006008845054517</v>
      </c>
    </row>
    <row r="12" spans="1:8" ht="12.75">
      <c r="A12" s="24" t="s">
        <v>29</v>
      </c>
      <c r="B12" s="3">
        <f>(E6-E2)/(E9-E6)</f>
        <v>-0.7006008845054525</v>
      </c>
      <c r="C12" s="3"/>
      <c r="E12" s="3"/>
      <c r="G12" s="42">
        <v>0</v>
      </c>
      <c r="H12" s="42">
        <v>0</v>
      </c>
    </row>
    <row r="13" spans="2:8" ht="12.75">
      <c r="B13" s="3"/>
      <c r="C13" s="3"/>
      <c r="E13" s="3"/>
      <c r="G13" s="42">
        <v>0</v>
      </c>
      <c r="H13" s="42">
        <v>0</v>
      </c>
    </row>
    <row r="14" spans="1:8" ht="12.75">
      <c r="A14" s="24" t="s">
        <v>38</v>
      </c>
      <c r="B14" s="3">
        <f>B6-B12</f>
        <v>4.7006008845054525</v>
      </c>
      <c r="C14" s="3"/>
      <c r="E14" s="3"/>
      <c r="G14" s="23"/>
      <c r="H14" s="23"/>
    </row>
    <row r="15" spans="1:8" ht="12.75">
      <c r="A15" s="24" t="s">
        <v>79</v>
      </c>
      <c r="B15" s="34">
        <v>5</v>
      </c>
      <c r="C15" s="34">
        <v>8</v>
      </c>
      <c r="D15" s="27">
        <v>15.78</v>
      </c>
      <c r="E15" s="3">
        <f>B15+C15/60+D15/3600</f>
        <v>5.137716666666667</v>
      </c>
      <c r="G15" s="23" t="s">
        <v>4</v>
      </c>
      <c r="H15" s="23" t="s">
        <v>4</v>
      </c>
    </row>
    <row r="16" spans="1:8" ht="12.75">
      <c r="A16" s="24" t="s">
        <v>47</v>
      </c>
      <c r="B16" s="21">
        <f>A2-E15</f>
        <v>10.562884217838786</v>
      </c>
      <c r="C16" s="37">
        <f>60*(B16-INT(B16))</f>
        <v>33.77305307032714</v>
      </c>
      <c r="E16" s="3"/>
      <c r="G16" s="23" t="s">
        <v>49</v>
      </c>
      <c r="H16" s="23" t="s">
        <v>49</v>
      </c>
    </row>
    <row r="17" spans="1:8" ht="12.75">
      <c r="A17" s="24" t="s">
        <v>16</v>
      </c>
      <c r="B17" s="21"/>
      <c r="C17" s="17">
        <v>59</v>
      </c>
      <c r="D17" s="29">
        <v>53.6</v>
      </c>
      <c r="E17" s="41">
        <f>B17+C17/60+D17/3600+0.55*(B16-12)/3600</f>
        <v>0.9980026628666142</v>
      </c>
      <c r="G17" s="23"/>
      <c r="H17" s="23"/>
    </row>
    <row r="18" spans="1:8" ht="12.75">
      <c r="A18" s="24" t="s">
        <v>61</v>
      </c>
      <c r="B18" s="3"/>
      <c r="C18" s="34">
        <v>-13</v>
      </c>
      <c r="D18" s="27">
        <v>-12.9</v>
      </c>
      <c r="E18" s="3">
        <f>B18+C18/60+D18/3600</f>
        <v>-0.22025</v>
      </c>
      <c r="G18" s="23" t="s">
        <v>64</v>
      </c>
      <c r="H18" s="23" t="s">
        <v>64</v>
      </c>
    </row>
    <row r="19" spans="1:8" ht="12.75">
      <c r="A19" s="24" t="s">
        <v>28</v>
      </c>
      <c r="B19" s="12">
        <f>H27-E15-E2</f>
        <v>2.086417998019958</v>
      </c>
      <c r="C19" s="37">
        <f>60*(B19-INT(B19))</f>
        <v>5.185079881197492</v>
      </c>
      <c r="E19" s="3"/>
      <c r="G19" s="23"/>
      <c r="H19" s="23"/>
    </row>
    <row r="20" spans="2:8" ht="12.75">
      <c r="B20" s="37"/>
      <c r="C20" s="21"/>
      <c r="G20" s="23"/>
      <c r="H20" s="23"/>
    </row>
    <row r="21" spans="1:8" ht="12.75">
      <c r="A21" s="24" t="s">
        <v>37</v>
      </c>
      <c r="B21" s="33">
        <f>B19-E18</f>
        <v>2.3066679980199583</v>
      </c>
      <c r="C21" s="37">
        <f>60*(B21-INT(B21))</f>
        <v>18.400079881197495</v>
      </c>
      <c r="G21" s="23"/>
      <c r="H21" s="23"/>
    </row>
    <row r="22" spans="1:8" ht="12.75">
      <c r="A22" s="18" t="s">
        <v>78</v>
      </c>
      <c r="B22" s="11">
        <v>42</v>
      </c>
      <c r="C22" s="25">
        <v>39</v>
      </c>
      <c r="D22" s="25">
        <v>49.5</v>
      </c>
      <c r="E22" s="3">
        <f>B22+C22/60+D22/3600</f>
        <v>42.66375</v>
      </c>
      <c r="F22" s="18" t="s">
        <v>1</v>
      </c>
      <c r="G22" s="18"/>
      <c r="H22" s="18"/>
    </row>
    <row r="23" spans="1:8" ht="12.75">
      <c r="A23" s="18" t="s">
        <v>46</v>
      </c>
      <c r="B23" s="18">
        <f>DEGREES(ATAN((6378.137/6356.759)^-2*TAN(RADIANS(E22))))</f>
        <v>42.472078758440475</v>
      </c>
      <c r="C23" s="18" t="s">
        <v>48</v>
      </c>
      <c r="D23" s="18"/>
      <c r="E23" s="18"/>
      <c r="F23" s="18"/>
      <c r="G23" s="18"/>
      <c r="H23" s="18"/>
    </row>
    <row r="24" spans="1:8" ht="12.75">
      <c r="A24" s="18" t="s">
        <v>15</v>
      </c>
      <c r="B24" s="18">
        <f>SQRT(COS(RADIANS(E22))/COS(RADIANS(B23)*COS(RADIANS(E22-B23))))</f>
        <v>0.9984629312864333</v>
      </c>
      <c r="C24" s="18"/>
      <c r="D24" s="18"/>
      <c r="E24" s="18"/>
      <c r="F24" s="18"/>
      <c r="G24" s="18"/>
      <c r="H24" s="18"/>
    </row>
    <row r="25" spans="1:8" ht="12.75">
      <c r="A25" s="18" t="s">
        <v>60</v>
      </c>
      <c r="B25" s="15">
        <f>E15+E18</f>
        <v>4.917466666666667</v>
      </c>
      <c r="C25" s="18">
        <f>TRUNC(60*(B25-INT(B25)))</f>
        <v>55</v>
      </c>
      <c r="D25" s="18">
        <f>3600*(B25-INT(B25)-C25/60)</f>
        <v>2.880000000000882</v>
      </c>
      <c r="E25" s="18" t="s">
        <v>63</v>
      </c>
      <c r="F25" s="18"/>
      <c r="G25" s="42">
        <f>367*G7-INT(7*(G7+INT((G8+9)/12))/4)+INT(275*G8/9)+G9-730531.5+(G11+G12/60+G13/3600)/24</f>
        <v>-35775.34580829648</v>
      </c>
      <c r="H25" s="42">
        <f>367*H7-INT(7*(H7+INT((H8+9)/12))/4)+INT(275*H8/9)+H9-730531.5+(H11+H12/60+H13/3600)/24</f>
        <v>-35775.34580829648</v>
      </c>
    </row>
    <row r="26" spans="1:8" ht="12.75">
      <c r="A26" s="24" t="s">
        <v>27</v>
      </c>
      <c r="B26" s="20">
        <f>B24*SIN(RADIANS(B23))</f>
        <v>0.6741929629937745</v>
      </c>
      <c r="C26" s="21">
        <f>LOG10(B26)+10</f>
        <v>9.828784215184475</v>
      </c>
      <c r="G26" s="42" t="s">
        <v>4</v>
      </c>
      <c r="H26" s="42" t="s">
        <v>4</v>
      </c>
    </row>
    <row r="27" spans="1:8" ht="12.75">
      <c r="A27" s="24" t="s">
        <v>70</v>
      </c>
      <c r="B27" s="20">
        <f>B24*COS(RADIANS(B23))</f>
        <v>0.736472724411958</v>
      </c>
      <c r="C27" s="21">
        <f>LOG10(B27)+10</f>
        <v>9.867156667191239</v>
      </c>
      <c r="G27" s="36">
        <f>MOD(280.46061837+360.98564736629*G25,360)/15</f>
        <v>11.606283838426073</v>
      </c>
      <c r="H27" s="36">
        <f>MOD(280.46061837+360.98564736629*H25,360)/15</f>
        <v>11.606283838426073</v>
      </c>
    </row>
    <row r="28" ht="12.75"/>
    <row r="29" spans="1:8" ht="12.75">
      <c r="A29" s="24" t="s">
        <v>77</v>
      </c>
      <c r="B29" s="20">
        <f>B27*SIN(RADIANS(15*B21))</f>
        <v>0.4182016412550957</v>
      </c>
      <c r="G29" s="24" t="s">
        <v>2</v>
      </c>
      <c r="H29" s="24" t="s">
        <v>2</v>
      </c>
    </row>
    <row r="30" spans="1:8" ht="12.75">
      <c r="A30" s="24" t="s">
        <v>12</v>
      </c>
      <c r="B30" s="3">
        <f>10^(9.4192-10)*COS(RADIANS(15*(B21+B21/3)))</f>
        <v>0.1819374337129523</v>
      </c>
      <c r="G30" s="3">
        <f>G27-E15</f>
        <v>6.468567171759406</v>
      </c>
      <c r="H30" s="3">
        <f>H27-E15</f>
        <v>6.468567171759406</v>
      </c>
    </row>
    <row r="31" spans="1:8" ht="12.75">
      <c r="A31" s="24" t="s">
        <v>14</v>
      </c>
      <c r="B31" s="3">
        <f>E6-E9</f>
        <v>-0.04254166666666759</v>
      </c>
      <c r="G31" s="3">
        <f>60*(G30-INT(G30))</f>
        <v>28.11403030556436</v>
      </c>
      <c r="H31" s="3">
        <f>60*(H30-INT(H30))</f>
        <v>28.11403030556436</v>
      </c>
    </row>
    <row r="32" spans="1:8" ht="12.75">
      <c r="A32" s="24" t="s">
        <v>59</v>
      </c>
      <c r="B32" s="3">
        <f>E7-E10</f>
        <v>-0.05241666666666589</v>
      </c>
      <c r="G32" s="3"/>
      <c r="H32" s="3"/>
    </row>
    <row r="33" spans="1:8" ht="12.75">
      <c r="A33" s="24" t="s">
        <v>17</v>
      </c>
      <c r="B33" s="43">
        <f>E7+B12*B32</f>
        <v>19.253278718585047</v>
      </c>
      <c r="G33" s="3"/>
      <c r="H33" s="3"/>
    </row>
    <row r="34" spans="1:8" ht="12.75">
      <c r="A34" s="24" t="s">
        <v>69</v>
      </c>
      <c r="B34" s="28">
        <f>-15*B31/E17*COS(RADIANS(B33))</f>
        <v>0.6036404395203797</v>
      </c>
      <c r="C34" s="3"/>
      <c r="G34" s="3"/>
      <c r="H34" s="3"/>
    </row>
    <row r="35" spans="1:3" ht="12.75">
      <c r="A35" s="24" t="s">
        <v>36</v>
      </c>
      <c r="B35" s="20">
        <f>B29/(B34-B30)</f>
        <v>0.991697084194058</v>
      </c>
      <c r="C35" s="31">
        <f>60*B35</f>
        <v>59.50182505164348</v>
      </c>
    </row>
    <row r="36" spans="1:3" ht="12.75">
      <c r="A36" s="24" t="s">
        <v>76</v>
      </c>
      <c r="B36" s="21">
        <f>-B32/E17</f>
        <v>0.05252156994862801</v>
      </c>
      <c r="C36" s="9"/>
    </row>
    <row r="37" spans="1:3" ht="12.75">
      <c r="A37" s="24" t="s">
        <v>45</v>
      </c>
      <c r="B37" s="21">
        <f>(B33-E3)/E17</f>
        <v>0.289616354165337</v>
      </c>
      <c r="C37" s="10"/>
    </row>
    <row r="38" spans="1:3" ht="12.75">
      <c r="A38" s="18" t="s">
        <v>13</v>
      </c>
      <c r="B38" s="26">
        <v>1.00273791</v>
      </c>
      <c r="C38" s="10"/>
    </row>
    <row r="39" spans="1:3" ht="12.75">
      <c r="A39" s="24" t="s">
        <v>58</v>
      </c>
      <c r="B39" s="20">
        <f>B38*B35</f>
        <v>0.9944122615578438</v>
      </c>
      <c r="C39" s="31">
        <f>60*B39</f>
        <v>59.664735693470625</v>
      </c>
    </row>
    <row r="40" spans="1:7" ht="12.75">
      <c r="A40" s="24" t="s">
        <v>25</v>
      </c>
      <c r="G40" s="18"/>
    </row>
    <row r="41" spans="1:4" ht="12.75">
      <c r="A41" s="24" t="s">
        <v>68</v>
      </c>
      <c r="B41" s="33">
        <f>B27*SIN(RADIANS(B21*15+B39*15))</f>
        <v>0.560153499608703</v>
      </c>
      <c r="D41" s="21">
        <f>LOG10(B41)+10</f>
        <v>9.748307053610098</v>
      </c>
    </row>
    <row r="42" spans="1:4" ht="12.75">
      <c r="A42" s="24" t="s">
        <v>35</v>
      </c>
      <c r="B42" s="33">
        <f>B26*COS(RADIANS(B33))</f>
        <v>0.636485453378701</v>
      </c>
      <c r="D42" s="21">
        <f>LOG10(B42)+10</f>
        <v>9.803788482475845</v>
      </c>
    </row>
    <row r="43" spans="1:6" ht="12.75">
      <c r="A43" s="24" t="s">
        <v>75</v>
      </c>
      <c r="B43" s="33">
        <f>B27*SIN(RADIANS(B33))*COS(RADIANS(15*B21+15*B39))</f>
        <v>0.1576648994743332</v>
      </c>
      <c r="D43" s="21">
        <f>LOG10(B43)+10</f>
        <v>9.197735018241108</v>
      </c>
      <c r="F43" s="20"/>
    </row>
    <row r="44" spans="1:7" ht="12.75">
      <c r="A44" s="24" t="s">
        <v>44</v>
      </c>
      <c r="B44" s="28">
        <f>B42-B43</f>
        <v>0.4788205539043678</v>
      </c>
      <c r="D44" s="21">
        <f>LOG10(B44)+10</f>
        <v>9.680172784707759</v>
      </c>
      <c r="G44" s="2"/>
    </row>
    <row r="45" spans="1:4" ht="12.75">
      <c r="A45" s="24" t="s">
        <v>12</v>
      </c>
      <c r="B45" s="33">
        <f>10^(9.4192-10)*B27*COS(RADIANS(15*B21+15*B39))</f>
        <v>0.12553280534416467</v>
      </c>
      <c r="D45" s="21">
        <f>LOG10(B45)+10</f>
        <v>9.098757234328499</v>
      </c>
    </row>
    <row r="46" spans="1:4" ht="12.75">
      <c r="A46" s="24" t="s">
        <v>57</v>
      </c>
      <c r="B46" s="33">
        <f>10^(9.4192-10)*B27*SIN(RADIANS(B33))*SIN(RADIANS(15*B21+15*B39))</f>
        <v>0.0484936459667489</v>
      </c>
      <c r="D46" s="21">
        <f>LOG10(B46)+10</f>
        <v>8.68568483752271</v>
      </c>
    </row>
    <row r="47" spans="1:4" ht="12.75">
      <c r="A47" s="24" t="s">
        <v>24</v>
      </c>
      <c r="B47" s="21">
        <f>B34*B35</f>
        <v>0.5986284637739802</v>
      </c>
      <c r="D47" s="21">
        <f>LOG10(B47)+10</f>
        <v>9.777157362965383</v>
      </c>
    </row>
    <row r="48" spans="1:4" ht="12.75">
      <c r="A48" s="24" t="s">
        <v>67</v>
      </c>
      <c r="B48" s="21">
        <f>B37+B36*B35</f>
        <v>0.34170184194068565</v>
      </c>
      <c r="D48" s="21">
        <f>LOG10(B48)+10</f>
        <v>9.533647319865546</v>
      </c>
    </row>
    <row r="49" spans="1:4" ht="12.75">
      <c r="A49" s="24" t="s">
        <v>34</v>
      </c>
      <c r="B49" s="21">
        <f>B47-B41</f>
        <v>0.03847496416527718</v>
      </c>
      <c r="D49" s="21">
        <f>LOG10(B49)+10</f>
        <v>8.585178224011518</v>
      </c>
    </row>
    <row r="50" spans="1:5" ht="12.75">
      <c r="A50" s="24" t="s">
        <v>74</v>
      </c>
      <c r="B50" s="21">
        <f>B48-B44</f>
        <v>-0.13711871196368214</v>
      </c>
      <c r="D50" s="21">
        <f>LOG10(-B50)+10</f>
        <v>9.13709672501602</v>
      </c>
      <c r="E50" s="24" t="s">
        <v>22</v>
      </c>
    </row>
    <row r="51" spans="1:5" ht="12.75">
      <c r="A51" s="24" t="s">
        <v>42</v>
      </c>
      <c r="B51" s="21">
        <f>B49/B50</f>
        <v>-0.2805960150462019</v>
      </c>
      <c r="D51" s="21">
        <f>LOG10(-B51)+10</f>
        <v>9.448081498995498</v>
      </c>
      <c r="E51" s="24" t="s">
        <v>22</v>
      </c>
    </row>
    <row r="52" spans="1:4" ht="12.75">
      <c r="A52" s="24" t="s">
        <v>11</v>
      </c>
      <c r="B52" s="14">
        <f>DEGREES(ATAN2(B50,B49))</f>
        <v>164.32609195212174</v>
      </c>
      <c r="D52" s="21"/>
    </row>
    <row r="53" spans="1:5" ht="12.75">
      <c r="A53" s="24" t="s">
        <v>56</v>
      </c>
      <c r="B53" s="44">
        <f>COS(RADIANS(B52))</f>
        <v>-0.9628148754655138</v>
      </c>
      <c r="D53" s="21">
        <f>LOG10(-B53)+10</f>
        <v>9.983542791493605</v>
      </c>
      <c r="E53" s="24" t="s">
        <v>22</v>
      </c>
    </row>
    <row r="54" spans="1:4" ht="12.75">
      <c r="A54" s="24" t="s">
        <v>23</v>
      </c>
      <c r="B54" s="21">
        <f>B50/B53</f>
        <v>0.14241440951708007</v>
      </c>
      <c r="D54" s="21">
        <f>LOG10(B54)+10</f>
        <v>9.153553933522415</v>
      </c>
    </row>
    <row r="55" spans="2:4" ht="12.75">
      <c r="B55" s="37"/>
      <c r="D55" s="21"/>
    </row>
    <row r="56" spans="1:4" ht="12.75">
      <c r="A56" s="24" t="s">
        <v>33</v>
      </c>
      <c r="B56" s="28">
        <f>B34-B45</f>
        <v>0.47810763417621505</v>
      </c>
      <c r="D56" s="21">
        <f>LOG10(B56)+10</f>
        <v>9.679525678341541</v>
      </c>
    </row>
    <row r="57" spans="1:4" ht="12.75">
      <c r="A57" s="24" t="s">
        <v>73</v>
      </c>
      <c r="B57" s="21">
        <f>B36-B46</f>
        <v>0.0040279239818791085</v>
      </c>
      <c r="D57" s="21">
        <f>LOG10(B57)+10</f>
        <v>7.605081265614956</v>
      </c>
    </row>
    <row r="58" spans="1:4" ht="12.75">
      <c r="A58" s="24" t="s">
        <v>41</v>
      </c>
      <c r="B58" s="21">
        <f>B56/B57</f>
        <v>118.69827641413632</v>
      </c>
      <c r="D58" s="21">
        <f>LOG10(B58)</f>
        <v>2.0744444127265846</v>
      </c>
    </row>
    <row r="59" spans="1:4" ht="12.75">
      <c r="A59" s="24" t="s">
        <v>10</v>
      </c>
      <c r="B59" s="21">
        <f>DEGREES(ATAN2(B57,B56))</f>
        <v>89.51731039606476</v>
      </c>
      <c r="D59" s="21"/>
    </row>
    <row r="60" spans="1:4" ht="12.75">
      <c r="A60" s="24" t="s">
        <v>54</v>
      </c>
      <c r="B60" s="21">
        <f>SIN(RADIANS(B59))</f>
        <v>0.9999645139172217</v>
      </c>
      <c r="D60" s="21">
        <f>LOG10(B60)+10</f>
        <v>9.999984588316613</v>
      </c>
    </row>
    <row r="61" spans="1:4" ht="12.75">
      <c r="A61" s="24" t="s">
        <v>22</v>
      </c>
      <c r="B61" s="21">
        <f>B56/B60</f>
        <v>0.4781246009453825</v>
      </c>
      <c r="D61" s="21">
        <f>LOG10(B61)+10</f>
        <v>9.679541090024928</v>
      </c>
    </row>
    <row r="62" ht="12.75">
      <c r="D62" s="21"/>
    </row>
    <row r="63" spans="1:4" ht="12.75">
      <c r="A63" s="24" t="s">
        <v>32</v>
      </c>
      <c r="B63" s="3">
        <f>10^0.5646*B54*SIN(RADIANS(B52-B59))</f>
        <v>0.5043206478594088</v>
      </c>
      <c r="D63" s="21">
        <f>LOG10(B63)+10</f>
        <v>9.702706749376333</v>
      </c>
    </row>
    <row r="64" spans="1:3" ht="12.75">
      <c r="A64" s="24" t="s">
        <v>72</v>
      </c>
      <c r="B64" s="20">
        <f>DEGREES(ASIN(B63))</f>
        <v>30.28626583339751</v>
      </c>
      <c r="C64" s="20">
        <f>60*(B64-INT(B64))</f>
        <v>17.175950003850673</v>
      </c>
    </row>
    <row r="66" spans="1:2" ht="12.75">
      <c r="A66" s="24" t="s">
        <v>9</v>
      </c>
      <c r="B66" s="3">
        <f>-1*10^1.7782*B54/B61*COS(RADIANS(B52-B59))-10^1.2135/B61*COS(RADIANS(B64))</f>
        <v>-34.21132363668464</v>
      </c>
    </row>
    <row r="67" spans="1:2" ht="12.75">
      <c r="A67" s="24" t="s">
        <v>53</v>
      </c>
      <c r="B67" s="3">
        <f>-1*10^1.7782*B54/B61*COS(RADIANS(B52-B59))+10^1.2135/B61*COS(RADIANS(B64))</f>
        <v>24.844064488633506</v>
      </c>
    </row>
    <row r="68" ht="12.75"/>
    <row r="69" ht="12.75">
      <c r="B69" s="32"/>
    </row>
    <row r="70" spans="1:4" ht="12.75">
      <c r="A70" s="24" t="s">
        <v>7</v>
      </c>
      <c r="B70" s="20">
        <f>B43*COS(RADIANS(B59-B64))</f>
        <v>0.08065779613315542</v>
      </c>
      <c r="C70" s="20"/>
      <c r="D70" s="21">
        <f>LOG10(B70)+10</f>
        <v>8.90664635131547</v>
      </c>
    </row>
    <row r="71" spans="1:4" ht="12.75">
      <c r="A71" s="24" t="s">
        <v>52</v>
      </c>
      <c r="B71" s="20">
        <f>B41*SIN(RADIANS(B59-B64))</f>
        <v>0.48130473069686036</v>
      </c>
      <c r="C71" s="20"/>
      <c r="D71" s="21">
        <f>LOG10(B71)+10</f>
        <v>9.682420130336086</v>
      </c>
    </row>
    <row r="72" spans="1:5" ht="12.75">
      <c r="A72" s="24" t="s">
        <v>20</v>
      </c>
      <c r="B72" s="20">
        <f>B70-B71</f>
        <v>-0.4006469345637049</v>
      </c>
      <c r="C72" s="20"/>
      <c r="D72" s="21">
        <f>LOG10(-B72)+10</f>
        <v>9.602761824208814</v>
      </c>
      <c r="E72" s="24" t="s">
        <v>22</v>
      </c>
    </row>
    <row r="73" spans="1:4" ht="12.75">
      <c r="A73" s="24" t="s">
        <v>8</v>
      </c>
      <c r="B73" s="16">
        <v>6.7591</v>
      </c>
      <c r="D73" s="21"/>
    </row>
    <row r="74" spans="1:4" ht="12.75">
      <c r="A74" s="24" t="s">
        <v>31</v>
      </c>
      <c r="B74" s="3">
        <f>B66^2</f>
        <v>1170.414664973977</v>
      </c>
      <c r="D74" s="21">
        <f>LOG10(B74)</f>
        <v>3.068339754741806</v>
      </c>
    </row>
    <row r="75" spans="1:4" ht="12.75">
      <c r="A75" s="24" t="s">
        <v>21</v>
      </c>
      <c r="B75" s="22">
        <f>1/(B61*COS(RADIANS(B64)))</f>
        <v>2.4220789064559596</v>
      </c>
      <c r="D75" s="21">
        <f>LOG10(B75)</f>
        <v>0.3841882874776371</v>
      </c>
    </row>
    <row r="76" spans="2:4" ht="12.75">
      <c r="B76" s="22">
        <f>-1*10^(D76-20)</f>
        <v>-0.652213623919391</v>
      </c>
      <c r="C76" s="24" t="s">
        <v>39</v>
      </c>
      <c r="D76" s="21">
        <f>B73+D74+D75+D72</f>
        <v>19.814389866428257</v>
      </c>
    </row>
    <row r="77" spans="1:2" ht="12.75">
      <c r="A77" s="24" t="s">
        <v>6</v>
      </c>
      <c r="B77" s="32">
        <f>10^B73*B74*B75*(B70-B71)*10^-10</f>
        <v>-0.6522136239193896</v>
      </c>
    </row>
    <row r="79" ht="12.75">
      <c r="B79" s="32"/>
    </row>
    <row r="80" spans="1:4" ht="12.75">
      <c r="A80" s="24" t="s">
        <v>7</v>
      </c>
      <c r="B80" s="20">
        <f>B43*COS(RADIANS(B59+B64))</f>
        <v>-0.07836388910507011</v>
      </c>
      <c r="C80" s="20"/>
      <c r="D80" s="21" t="e">
        <f>LOG10(B80)+10</f>
        <v>#NUM!</v>
      </c>
    </row>
    <row r="81" spans="1:4" ht="12.75">
      <c r="A81" s="24" t="s">
        <v>52</v>
      </c>
      <c r="B81" s="20">
        <f>B41*SIN(RADIANS(B59+B64))</f>
        <v>0.48606447885237225</v>
      </c>
      <c r="C81" s="20"/>
      <c r="D81" s="21">
        <f>LOG10(B81)+10</f>
        <v>9.68669388439058</v>
      </c>
    </row>
    <row r="82" spans="1:5" ht="12.75">
      <c r="A82" s="24" t="s">
        <v>20</v>
      </c>
      <c r="B82" s="20">
        <f>B80-B81</f>
        <v>-0.5644283679574423</v>
      </c>
      <c r="C82" s="20"/>
      <c r="D82" s="21">
        <f>LOG10(-B82)+10</f>
        <v>9.751608833108133</v>
      </c>
      <c r="E82" s="24" t="s">
        <v>22</v>
      </c>
    </row>
    <row r="83" spans="1:4" ht="12.75">
      <c r="A83" s="24" t="s">
        <v>8</v>
      </c>
      <c r="B83" s="16">
        <v>6.7591</v>
      </c>
      <c r="D83" s="21"/>
    </row>
    <row r="84" spans="1:4" ht="12.75">
      <c r="A84" s="24" t="s">
        <v>31</v>
      </c>
      <c r="B84" s="3">
        <f>B67^2</f>
        <v>617.2275403153805</v>
      </c>
      <c r="D84" s="21">
        <f>LOG10(B84)</f>
        <v>2.7904452957776273</v>
      </c>
    </row>
    <row r="85" spans="1:4" ht="12.75">
      <c r="A85" s="24" t="s">
        <v>21</v>
      </c>
      <c r="B85" s="22">
        <f>1/(B61*COS(RADIANS(B64)))</f>
        <v>2.4220789064559596</v>
      </c>
      <c r="D85" s="21">
        <f>LOG10(B85)</f>
        <v>0.3841882874776371</v>
      </c>
    </row>
    <row r="86" spans="2:4" ht="12.75">
      <c r="B86" s="22">
        <f>-1*10^(D86-20)</f>
        <v>-0.48455426033855276</v>
      </c>
      <c r="C86" s="24" t="s">
        <v>39</v>
      </c>
      <c r="D86" s="21">
        <f>B83+D84+D85+D82</f>
        <v>19.685342416363397</v>
      </c>
    </row>
    <row r="87" spans="1:2" ht="12.75">
      <c r="A87" s="24" t="s">
        <v>6</v>
      </c>
      <c r="B87" s="32">
        <f>10^B83*B84*B85*(B80-B81)*10^-10</f>
        <v>-0.48455426033855314</v>
      </c>
    </row>
    <row r="88" ht="12.75">
      <c r="E88" s="24" t="s">
        <v>55</v>
      </c>
    </row>
    <row r="89" spans="1:8" ht="12.75">
      <c r="A89" s="24" t="s">
        <v>19</v>
      </c>
      <c r="B89" s="3">
        <f>B16+B35</f>
        <v>11.554581302032844</v>
      </c>
      <c r="C89" s="20">
        <f>60*(B89-INT(B89))</f>
        <v>33.27487812197063</v>
      </c>
      <c r="H89" s="24" t="s">
        <v>26</v>
      </c>
    </row>
    <row r="90" spans="1:9" ht="12.75">
      <c r="A90" s="24" t="s">
        <v>66</v>
      </c>
      <c r="B90" s="3">
        <f>B89+(B66+B86)/60</f>
        <v>10.976316670415791</v>
      </c>
      <c r="C90" s="20">
        <f>60*(B90-INT(B90))</f>
        <v>58.579000224947464</v>
      </c>
      <c r="E90" s="5">
        <f>INT(B90)</f>
        <v>10</v>
      </c>
      <c r="F90" s="19">
        <f>C90</f>
        <v>58.579000224947464</v>
      </c>
      <c r="H90" s="40">
        <f>I93-F90</f>
        <v>-0.07900022494746395</v>
      </c>
      <c r="I90" s="40">
        <f>60*H90</f>
        <v>-4.740013496847837</v>
      </c>
    </row>
    <row r="91" spans="1:9" ht="12.75">
      <c r="A91" s="24" t="s">
        <v>30</v>
      </c>
      <c r="B91" s="3">
        <f>B89+(B67+B76)/60</f>
        <v>11.957778816444746</v>
      </c>
      <c r="C91" s="20">
        <f>60*(B91-INT(B91))</f>
        <v>57.46672898668475</v>
      </c>
      <c r="E91" s="5">
        <f>INT(B91)</f>
        <v>11</v>
      </c>
      <c r="F91" s="19">
        <f>C91</f>
        <v>57.46672898668475</v>
      </c>
      <c r="H91" s="40">
        <f>I94-F91</f>
        <v>0.033271013315250286</v>
      </c>
      <c r="I91" s="40">
        <f>60*H91</f>
        <v>1.9962607989150172</v>
      </c>
    </row>
    <row r="93" spans="4:9" ht="12.75">
      <c r="D93" s="38" t="s">
        <v>40</v>
      </c>
      <c r="E93" s="39">
        <v>10</v>
      </c>
      <c r="F93" s="40">
        <v>57.353105337715036</v>
      </c>
      <c r="G93" s="8" t="s">
        <v>43</v>
      </c>
      <c r="H93" s="24">
        <v>10</v>
      </c>
      <c r="I93" s="24">
        <v>58.5</v>
      </c>
    </row>
    <row r="94" spans="5:9" ht="12.75">
      <c r="E94" s="39">
        <v>11</v>
      </c>
      <c r="F94" s="40">
        <v>56.75430882043802</v>
      </c>
      <c r="H94" s="24">
        <v>11</v>
      </c>
      <c r="I94" s="24">
        <v>57.5</v>
      </c>
    </row>
  </sheetData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 scale="47"/>
  <headerFooter alignWithMargins="0">
    <oddHeader>&amp;L&amp;[TAB]</oddHeader>
    <oddFooter>&amp;LPage &amp;[PAGE]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24" customWidth="1"/>
  </cols>
  <sheetData/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 scale="47"/>
  <headerFooter alignWithMargins="0">
    <oddHeader>&amp;L&amp;[TAB]</oddHeader>
    <oddFooter>&amp;LPage &amp;[PAGE]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24" customWidth="1"/>
  </cols>
  <sheetData/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 scale="47"/>
  <headerFooter alignWithMargins="0">
    <oddHeader>&amp;L&amp;[TAB]</oddHeader>
    <oddFooter>&amp;LPage 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