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2090" activeTab="2"/>
  </bookViews>
  <sheets>
    <sheet name="DR calc w equations" sheetId="1" r:id="rId1"/>
    <sheet name="NEWtable" sheetId="2" r:id="rId2"/>
    <sheet name="AP calc w table" sheetId="3" r:id="rId3"/>
    <sheet name="t calc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<sst xmlns="http://schemas.openxmlformats.org/spreadsheetml/2006/main" count="257" uniqueCount="121">
  <si>
    <t>enter min unsigned unless deg=0</t>
  </si>
  <si>
    <t>L&lt;b</t>
  </si>
  <si>
    <t>deg</t>
  </si>
  <si>
    <t>C=b-L</t>
  </si>
  <si>
    <t>min</t>
  </si>
  <si>
    <t>decimal deg</t>
  </si>
  <si>
    <t>Z&lt;90</t>
  </si>
  <si>
    <t>LHA=</t>
  </si>
  <si>
    <t>so:</t>
  </si>
  <si>
    <t>LongDR, Lat DR</t>
  </si>
  <si>
    <t>d and L same name</t>
  </si>
  <si>
    <t>Aquino page xiii</t>
  </si>
  <si>
    <t>t&gt;90</t>
  </si>
  <si>
    <t>Zn=</t>
  </si>
  <si>
    <t>dec</t>
  </si>
  <si>
    <t>C=180-(L+b)</t>
  </si>
  <si>
    <t>d</t>
  </si>
  <si>
    <t>.</t>
  </si>
  <si>
    <t>Dec</t>
  </si>
  <si>
    <t>Ho</t>
  </si>
  <si>
    <t>a=</t>
  </si>
  <si>
    <t>t DR</t>
  </si>
  <si>
    <t>t</t>
  </si>
  <si>
    <t>dlat</t>
  </si>
  <si>
    <t>HO 200 page 189</t>
  </si>
  <si>
    <t>L is Lat</t>
  </si>
  <si>
    <t>23**46.0 s 42**52E</t>
  </si>
  <si>
    <t>C</t>
  </si>
  <si>
    <t>B=90-C</t>
  </si>
  <si>
    <t>Zn</t>
  </si>
  <si>
    <t>t&lt;90</t>
  </si>
  <si>
    <t>L&gt;b</t>
  </si>
  <si>
    <t>ICE</t>
  </si>
  <si>
    <t>C=L-b</t>
  </si>
  <si>
    <t>Z&gt;90</t>
  </si>
  <si>
    <t>elevated</t>
  </si>
  <si>
    <t>ex 1 from HO 200</t>
  </si>
  <si>
    <t>depressed</t>
  </si>
  <si>
    <t>ex 2 from HO200</t>
  </si>
  <si>
    <t>JUP fm USNO</t>
  </si>
  <si>
    <t>elnath</t>
  </si>
  <si>
    <t>Long DR</t>
  </si>
  <si>
    <t>problem case</t>
  </si>
  <si>
    <t>d and L contrary name</t>
  </si>
  <si>
    <t>meeus</t>
  </si>
  <si>
    <t>prob 2</t>
  </si>
  <si>
    <t>b=</t>
  </si>
  <si>
    <t>h=</t>
  </si>
  <si>
    <t>Lat DR</t>
  </si>
  <si>
    <t>C=L+b</t>
  </si>
  <si>
    <t>L</t>
  </si>
  <si>
    <t>LOP</t>
  </si>
  <si>
    <t>diff</t>
  </si>
  <si>
    <t>bounding box for plot</t>
  </si>
  <si>
    <t>Z=</t>
  </si>
  <si>
    <t>dlong</t>
  </si>
  <si>
    <t>B\b</t>
  </si>
  <si>
    <t>h\d</t>
  </si>
  <si>
    <t>Z\t</t>
  </si>
  <si>
    <t>C\c</t>
  </si>
  <si>
    <t>d=</t>
  </si>
  <si>
    <t>a</t>
  </si>
  <si>
    <t>b</t>
  </si>
  <si>
    <t>From HO 200 pg 190, Aquino's First Method</t>
  </si>
  <si>
    <t>D/60</t>
  </si>
  <si>
    <t>intercept</t>
  </si>
  <si>
    <t>calc b&amp;t as check on interpolation</t>
  </si>
  <si>
    <t>Reenter table from above with a and d(Dec) interpolating Dec to get b:</t>
  </si>
  <si>
    <t>Nearest 1/2 deg +Dec</t>
  </si>
  <si>
    <t>Gives: Long AP =tAP-GHA</t>
  </si>
  <si>
    <t>a rounded =</t>
  </si>
  <si>
    <t>Lat AP</t>
  </si>
  <si>
    <t>rounded using full DR values</t>
  </si>
  <si>
    <t>=H2+rand()*0.2</t>
  </si>
  <si>
    <t>LOP DR</t>
  </si>
  <si>
    <t>t AP= (table entry value)</t>
  </si>
  <si>
    <t>abs value</t>
  </si>
  <si>
    <t>60/D</t>
  </si>
  <si>
    <t>h c=</t>
  </si>
  <si>
    <t>(Meeus with DR)</t>
  </si>
  <si>
    <t>Gives:  GHA (+West)=tDR-LongDR</t>
  </si>
  <si>
    <t>-west</t>
  </si>
  <si>
    <t>Analytic</t>
  </si>
  <si>
    <t>+W</t>
  </si>
  <si>
    <t>alp</t>
  </si>
  <si>
    <t>BLUE CASE</t>
  </si>
  <si>
    <t>L Lat DR</t>
  </si>
  <si>
    <t>t DR = LHA (+west)</t>
  </si>
  <si>
    <t>north</t>
  </si>
  <si>
    <t>60/Delta</t>
  </si>
  <si>
    <t>Delta/60</t>
  </si>
  <si>
    <t>beta\alp</t>
  </si>
  <si>
    <t>NOW chose precept from 4</t>
  </si>
  <si>
    <t>times D/60</t>
  </si>
  <si>
    <t>Turn again to table from above with "a" as above, and whole C, take out "h" and "Z":</t>
  </si>
  <si>
    <t>180-t</t>
  </si>
  <si>
    <t>LongAP, Lat AP</t>
  </si>
  <si>
    <t>Long AP=</t>
  </si>
  <si>
    <t>t incr=</t>
  </si>
  <si>
    <t>MODbyDAW</t>
  </si>
  <si>
    <t>C=</t>
  </si>
  <si>
    <t>Enter table from below with "d" (Dec) &amp; t DR', take out "a" to nearest 1/2 degree:</t>
  </si>
  <si>
    <t>if t&gt;90, t AP is really</t>
  </si>
  <si>
    <t>times 60/D</t>
  </si>
  <si>
    <t>CALC Lat DR to give C whole deg</t>
  </si>
  <si>
    <t>Dec incr</t>
  </si>
  <si>
    <t>(Meeus with AP)</t>
  </si>
  <si>
    <t>Long DR = (-West)</t>
  </si>
  <si>
    <t>=+west</t>
  </si>
  <si>
    <t>+E</t>
  </si>
  <si>
    <t>d Dec</t>
  </si>
  <si>
    <t>Parts of Long calculation: t=Long+GHA</t>
  </si>
  <si>
    <t>south</t>
  </si>
  <si>
    <t>LOP AP</t>
  </si>
  <si>
    <t>Starting after the completion of GMT and almanc look-up:</t>
  </si>
  <si>
    <t>t=</t>
  </si>
  <si>
    <t>Lat to make C whole deg</t>
  </si>
  <si>
    <t>(tabular result)</t>
  </si>
  <si>
    <t>t or 180-t</t>
  </si>
  <si>
    <t>GHA</t>
  </si>
  <si>
    <t>+360=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</si>
</sst>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"/>
    <numFmt numFmtId="51" formatCode="0.0000"/>
    <numFmt numFmtId="52" formatCode="0.0"/>
  </numFmts>
  <fonts count="17">
    <font>
      <sz val="10"/>
      <color indexed="8"/>
      <name val="Sans"/>
      <family val="0"/>
    </font>
    <font>
      <b/>
      <sz val="10"/>
      <color indexed="10"/>
      <name val="Sans"/>
      <family val="0"/>
    </font>
    <font>
      <sz val="10"/>
      <color indexed="8"/>
      <name val="Symbol"/>
      <family val="0"/>
    </font>
    <font>
      <sz val="10"/>
      <color indexed="8"/>
      <name val="Courier New"/>
      <family val="0"/>
    </font>
    <font>
      <sz val="8"/>
      <color indexed="8"/>
      <name val="Sans"/>
      <family val="0"/>
    </font>
    <font>
      <b/>
      <sz val="10"/>
      <color indexed="8"/>
      <name val="Sans"/>
      <family val="0"/>
    </font>
    <font>
      <sz val="10"/>
      <name val="Sans"/>
      <family val="0"/>
    </font>
    <font>
      <b/>
      <sz val="12"/>
      <color indexed="8"/>
      <name val="Sans"/>
      <family val="0"/>
    </font>
    <font>
      <b/>
      <sz val="10"/>
      <color indexed="14"/>
      <name val="Sans"/>
      <family val="0"/>
    </font>
    <font>
      <sz val="10"/>
      <color indexed="12"/>
      <name val="Sans"/>
      <family val="0"/>
    </font>
    <font>
      <sz val="10"/>
      <color indexed="11"/>
      <name val="Sans"/>
      <family val="0"/>
    </font>
    <font>
      <b/>
      <sz val="10"/>
      <color indexed="12"/>
      <name val="Sans"/>
      <family val="0"/>
    </font>
    <font>
      <b/>
      <sz val="10"/>
      <color indexed="57"/>
      <name val="Sans"/>
      <family val="0"/>
    </font>
    <font>
      <b/>
      <sz val="10"/>
      <color indexed="17"/>
      <name val="Sans"/>
      <family val="0"/>
    </font>
    <font>
      <b/>
      <sz val="10"/>
      <color indexed="11"/>
      <name val="Sans"/>
      <family val="0"/>
    </font>
    <font>
      <sz val="10"/>
      <color indexed="14"/>
      <name val="Sans"/>
      <family val="0"/>
    </font>
    <font>
      <sz val="10"/>
      <color indexed="10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4"/>
      </right>
      <top>
        <color indexed="63"/>
      </top>
      <bottom style="thin">
        <color indexed="14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 style="thin">
        <color indexed="14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2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51" fontId="0" fillId="0" borderId="5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4" fillId="0" borderId="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51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8" fillId="0" borderId="8" xfId="0" applyNumberFormat="1" applyFont="1" applyFill="1" applyBorder="1" applyAlignment="1" applyProtection="1">
      <alignment/>
      <protection/>
    </xf>
    <xf numFmtId="51" fontId="0" fillId="0" borderId="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/>
      <protection/>
    </xf>
    <xf numFmtId="51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52" fontId="0" fillId="0" borderId="0" xfId="0" applyNumberFormat="1" applyFont="1" applyFill="1" applyBorder="1" applyAlignment="1" applyProtection="1">
      <alignment horizontal="center"/>
      <protection/>
    </xf>
    <xf numFmtId="0" fontId="7" fillId="2" borderId="0" xfId="0" applyNumberFormat="1" applyFont="1" applyFill="1" applyBorder="1" applyAlignment="1" applyProtection="1">
      <alignment horizontal="center"/>
      <protection/>
    </xf>
    <xf numFmtId="5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1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50" fontId="0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51" fontId="0" fillId="0" borderId="0" xfId="0" applyNumberFormat="1" applyFont="1" applyFill="1" applyBorder="1" applyAlignment="1" applyProtection="1">
      <alignment horizontal="right"/>
      <protection/>
    </xf>
    <xf numFmtId="0" fontId="5" fillId="0" borderId="14" xfId="0" applyNumberFormat="1" applyFont="1" applyFill="1" applyBorder="1" applyAlignment="1" applyProtection="1">
      <alignment horizontal="right"/>
      <protection/>
    </xf>
    <xf numFmtId="50" fontId="0" fillId="0" borderId="0" xfId="0" applyNumberFormat="1" applyFont="1" applyFill="1" applyBorder="1" applyAlignment="1" applyProtection="1">
      <alignment/>
      <protection/>
    </xf>
    <xf numFmtId="52" fontId="0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51" fontId="0" fillId="0" borderId="18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50" fontId="0" fillId="0" borderId="21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51" fontId="5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51" fontId="6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51" fontId="7" fillId="2" borderId="14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right"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0" fillId="0" borderId="28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5" fillId="3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48284"/>
      <rgbColor rgb="00D0D0D0"/>
      <rgbColor rgb="0000CEFF"/>
      <rgbColor rgb="00CEFFFF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'DR calc w equations'!$D$32</c:f>
              <c:numCache/>
            </c:numRef>
          </c:xVal>
          <c:yVal>
            <c:numRef>
              <c:f>'DR calc w equations'!$D$4</c:f>
              <c:numCache/>
            </c:numRef>
          </c:yVal>
          <c:smooth val="0"/>
        </c:ser>
        <c:ser>
          <c:idx val="1"/>
          <c:order val="1"/>
          <c:tx>
            <c:v>bound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'DR calc w equations'!$B$34:$B$38</c:f>
              <c:numCache/>
            </c:numRef>
          </c:xVal>
          <c:yVal>
            <c:numRef>
              <c:f>'DR calc w equations'!$C$34:$C$38</c:f>
              <c:numCache/>
            </c:numRef>
          </c:yVal>
          <c:smooth val="0"/>
        </c:ser>
        <c:ser>
          <c:idx val="2"/>
          <c:order val="2"/>
          <c:tx>
            <c:v>DR int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 calc w equations'!$B$45:$B$46</c:f>
              <c:numCache/>
            </c:numRef>
          </c:xVal>
          <c:yVal>
            <c:numRef>
              <c:f>'DR calc w equations'!$C$45:$C$46</c:f>
              <c:numCache/>
            </c:numRef>
          </c:yVal>
          <c:smooth val="0"/>
        </c:ser>
        <c:ser>
          <c:idx val="3"/>
          <c:order val="3"/>
          <c:tx>
            <c:v>LOP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 calc w equations'!$B$48:$B$49</c:f>
              <c:numCache/>
            </c:numRef>
          </c:xVal>
          <c:yVal>
            <c:numRef>
              <c:f>'DR calc w equations'!$C$48:$C$49</c:f>
              <c:numCache/>
            </c:numRef>
          </c:yVal>
          <c:smooth val="0"/>
        </c:ser>
        <c:axId val="47640598"/>
        <c:axId val="26112199"/>
      </c:scatterChart>
      <c:valAx>
        <c:axId val="4764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12199"/>
        <c:crosses val="autoZero"/>
        <c:crossBetween val="midCat"/>
        <c:dispUnits/>
      </c:valAx>
      <c:valAx>
        <c:axId val="26112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40598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'AP calc w table'!$D$8</c:f>
              <c:numCache/>
            </c:numRef>
          </c:xVal>
          <c:yVal>
            <c:numRef>
              <c:f>'AP calc w table'!$D$6</c:f>
              <c:numCache/>
            </c:numRef>
          </c:yVal>
          <c:smooth val="0"/>
        </c:ser>
        <c:ser>
          <c:idx val="1"/>
          <c:order val="1"/>
          <c:tx>
            <c:v>bound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'AP calc w table'!$L$88:$L$92</c:f>
              <c:numCache/>
            </c:numRef>
          </c:xVal>
          <c:yVal>
            <c:numRef>
              <c:f>'AP calc w table'!$M$88:$M$92</c:f>
              <c:numCache/>
            </c:numRef>
          </c:yVal>
          <c:smooth val="0"/>
        </c:ser>
        <c:ser>
          <c:idx val="2"/>
          <c:order val="2"/>
          <c:tx>
            <c:v>DR int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 calc w table'!$L$94:$L$95</c:f>
              <c:numCache/>
            </c:numRef>
          </c:xVal>
          <c:yVal>
            <c:numRef>
              <c:f>'AP calc w table'!$M$94:$M$95</c:f>
              <c:numCache/>
            </c:numRef>
          </c:yVal>
          <c:smooth val="0"/>
        </c:ser>
        <c:ser>
          <c:idx val="3"/>
          <c:order val="3"/>
          <c:tx>
            <c:v>DR LOP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 calc w table'!$L$97:$L$98</c:f>
              <c:numCache/>
            </c:numRef>
          </c:xVal>
          <c:yVal>
            <c:numRef>
              <c:f>'AP calc w table'!$M$97:$M$98</c:f>
              <c:numCache/>
            </c:numRef>
          </c:yVal>
          <c:smooth val="0"/>
        </c:ser>
        <c:ser>
          <c:idx val="4"/>
          <c:order val="4"/>
          <c:tx>
            <c:v>AP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'AP calc w table'!$D$50</c:f>
              <c:numCache/>
            </c:numRef>
          </c:xVal>
          <c:yVal>
            <c:numRef>
              <c:f>'AP calc w table'!$D$60</c:f>
              <c:numCache/>
            </c:numRef>
          </c:yVal>
          <c:smooth val="0"/>
        </c:ser>
        <c:ser>
          <c:idx val="5"/>
          <c:order val="5"/>
          <c:tx>
            <c:v>AP int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 calc w table'!$L$100:$L$101</c:f>
              <c:numCache/>
            </c:numRef>
          </c:xVal>
          <c:yVal>
            <c:numRef>
              <c:f>'AP calc w table'!$M$100:$M$101</c:f>
              <c:numCache/>
            </c:numRef>
          </c:yVal>
          <c:smooth val="0"/>
        </c:ser>
        <c:ser>
          <c:idx val="6"/>
          <c:order val="6"/>
          <c:tx>
            <c:v>AP LOP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 calc w table'!$L$103:$L$104</c:f>
              <c:numCache/>
            </c:numRef>
          </c:xVal>
          <c:yVal>
            <c:numRef>
              <c:f>'AP calc w table'!$M$103:$M$104</c:f>
              <c:numCache/>
            </c:numRef>
          </c:yVal>
          <c:smooth val="0"/>
        </c:ser>
        <c:ser>
          <c:idx val="7"/>
          <c:order val="7"/>
          <c:tx>
            <c:v>BLUE 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'AP calc w table'!$L$106</c:f>
              <c:numCache/>
            </c:numRef>
          </c:xVal>
          <c:yVal>
            <c:numRef>
              <c:f>'AP calc w table'!$M$106</c:f>
              <c:numCache/>
            </c:numRef>
          </c:yVal>
          <c:smooth val="0"/>
        </c:ser>
        <c:ser>
          <c:idx val="8"/>
          <c:order val="8"/>
          <c:tx>
            <c:v>BLUE int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 calc w table'!$L$106:$L$107</c:f>
              <c:numCache/>
            </c:numRef>
          </c:xVal>
          <c:yVal>
            <c:numRef>
              <c:f>'AP calc w table'!$M$106:$M$107</c:f>
              <c:numCache/>
            </c:numRef>
          </c:yVal>
          <c:smooth val="0"/>
        </c:ser>
        <c:ser>
          <c:idx val="9"/>
          <c:order val="9"/>
          <c:tx>
            <c:v>BLUE LOP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 calc w table'!$L$109:$L$110</c:f>
              <c:numCache/>
            </c:numRef>
          </c:xVal>
          <c:yVal>
            <c:numRef>
              <c:f>'AP calc w table'!$M$109:$M$110</c:f>
              <c:numCache/>
            </c:numRef>
          </c:yVal>
          <c:smooth val="0"/>
        </c:ser>
        <c:axId val="33683200"/>
        <c:axId val="34713345"/>
      </c:scatterChart>
      <c:valAx>
        <c:axId val="3368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3345"/>
        <c:crosses val="autoZero"/>
        <c:crossBetween val="midCat"/>
        <c:dispUnits/>
      </c:valAx>
      <c:valAx>
        <c:axId val="34713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683200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Sans"/>
          <a:ea typeface="Sans"/>
          <a:cs typeface="San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'AP calc w table'!$D$8</c:f>
              <c:numCache/>
            </c:numRef>
          </c:xVal>
          <c:yVal>
            <c:numRef>
              <c:f>'AP calc w table'!$D$6</c:f>
              <c:numCache/>
            </c:numRef>
          </c:yVal>
          <c:smooth val="0"/>
        </c:ser>
        <c:ser>
          <c:idx val="1"/>
          <c:order val="1"/>
          <c:tx>
            <c:v>bound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'AP calc w table'!$L$88:$L$92</c:f>
              <c:numCache/>
            </c:numRef>
          </c:xVal>
          <c:yVal>
            <c:numRef>
              <c:f>'AP calc w table'!$M$88:$M$92</c:f>
              <c:numCache/>
            </c:numRef>
          </c:yVal>
          <c:smooth val="0"/>
        </c:ser>
        <c:ser>
          <c:idx val="2"/>
          <c:order val="2"/>
          <c:tx>
            <c:v>DR int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 calc w table'!$L$94:$L$95</c:f>
              <c:numCache/>
            </c:numRef>
          </c:xVal>
          <c:yVal>
            <c:numRef>
              <c:f>'AP calc w table'!$M$94:$M$95</c:f>
              <c:numCache/>
            </c:numRef>
          </c:yVal>
          <c:smooth val="0"/>
        </c:ser>
        <c:ser>
          <c:idx val="3"/>
          <c:order val="3"/>
          <c:tx>
            <c:v>DR LOP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 calc w table'!$L$97:$L$98</c:f>
              <c:numCache/>
            </c:numRef>
          </c:xVal>
          <c:yVal>
            <c:numRef>
              <c:f>'AP calc w table'!$M$97:$M$98</c:f>
              <c:numCache/>
            </c:numRef>
          </c:yVal>
          <c:smooth val="0"/>
        </c:ser>
        <c:ser>
          <c:idx val="4"/>
          <c:order val="4"/>
          <c:tx>
            <c:v>AP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'AP calc w table'!$D$50</c:f>
              <c:numCache/>
            </c:numRef>
          </c:xVal>
          <c:yVal>
            <c:numRef>
              <c:f>'AP calc w table'!$D$60</c:f>
              <c:numCache/>
            </c:numRef>
          </c:yVal>
          <c:smooth val="0"/>
        </c:ser>
        <c:ser>
          <c:idx val="5"/>
          <c:order val="5"/>
          <c:tx>
            <c:v>AP int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 calc w table'!$L$100:$L$101</c:f>
              <c:numCache/>
            </c:numRef>
          </c:xVal>
          <c:yVal>
            <c:numRef>
              <c:f>'AP calc w table'!$M$100:$M$101</c:f>
              <c:numCache/>
            </c:numRef>
          </c:yVal>
          <c:smooth val="0"/>
        </c:ser>
        <c:ser>
          <c:idx val="6"/>
          <c:order val="6"/>
          <c:tx>
            <c:v>AP LOP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 calc w table'!$L$103:$L$104</c:f>
              <c:numCache/>
            </c:numRef>
          </c:xVal>
          <c:yVal>
            <c:numRef>
              <c:f>'AP calc w table'!$M$103:$M$104</c:f>
              <c:numCache/>
            </c:numRef>
          </c:yVal>
          <c:smooth val="0"/>
        </c:ser>
        <c:ser>
          <c:idx val="7"/>
          <c:order val="7"/>
          <c:tx>
            <c:v>BLUE 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'AP calc w table'!$L$106</c:f>
              <c:numCache/>
            </c:numRef>
          </c:xVal>
          <c:yVal>
            <c:numRef>
              <c:f>'AP calc w table'!$M$106</c:f>
              <c:numCache/>
            </c:numRef>
          </c:yVal>
          <c:smooth val="0"/>
        </c:ser>
        <c:ser>
          <c:idx val="8"/>
          <c:order val="8"/>
          <c:tx>
            <c:v>BLUE int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 calc w table'!$L$106:$L$107</c:f>
              <c:numCache/>
            </c:numRef>
          </c:xVal>
          <c:yVal>
            <c:numRef>
              <c:f>'AP calc w table'!$M$106:$M$107</c:f>
              <c:numCache/>
            </c:numRef>
          </c:yVal>
          <c:smooth val="0"/>
        </c:ser>
        <c:ser>
          <c:idx val="9"/>
          <c:order val="9"/>
          <c:tx>
            <c:v>BLUE LOP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 calc w table'!$L$109:$L$110</c:f>
              <c:numCache/>
            </c:numRef>
          </c:xVal>
          <c:yVal>
            <c:numRef>
              <c:f>'AP calc w table'!$M$109:$M$110</c:f>
              <c:numCache/>
            </c:numRef>
          </c:yVal>
          <c:smooth val="0"/>
        </c:ser>
        <c:axId val="43984650"/>
        <c:axId val="60317531"/>
      </c:scatterChart>
      <c:valAx>
        <c:axId val="43984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17531"/>
        <c:crosses val="autoZero"/>
        <c:crossBetween val="midCat"/>
        <c:dispUnits/>
      </c:valAx>
      <c:valAx>
        <c:axId val="60317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84650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31</xdr:row>
      <xdr:rowOff>66675</xdr:rowOff>
    </xdr:from>
    <xdr:to>
      <xdr:col>12</xdr:col>
      <xdr:colOff>723900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5781675" y="5086350"/>
        <a:ext cx="59436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9</xdr:row>
      <xdr:rowOff>133350</xdr:rowOff>
    </xdr:from>
    <xdr:to>
      <xdr:col>18</xdr:col>
      <xdr:colOff>762000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9391650" y="1590675"/>
        <a:ext cx="73818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83</xdr:row>
      <xdr:rowOff>85725</xdr:rowOff>
    </xdr:from>
    <xdr:to>
      <xdr:col>6</xdr:col>
      <xdr:colOff>209550</xdr:colOff>
      <xdr:row>109</xdr:row>
      <xdr:rowOff>123825</xdr:rowOff>
    </xdr:to>
    <xdr:graphicFrame>
      <xdr:nvGraphicFramePr>
        <xdr:cNvPr id="2" name="Chart 2"/>
        <xdr:cNvGraphicFramePr/>
      </xdr:nvGraphicFramePr>
      <xdr:xfrm>
        <a:off x="219075" y="13639800"/>
        <a:ext cx="63912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zoomScaleSheetLayoutView="1" workbookViewId="0" topLeftCell="A1">
      <selection activeCell="B12" sqref="B12"/>
    </sheetView>
  </sheetViews>
  <sheetFormatPr defaultColWidth="9.00390625" defaultRowHeight="12.75"/>
  <cols>
    <col min="1" max="1" width="32.25390625" style="16" customWidth="1"/>
    <col min="2" max="2" width="9.625" style="16" customWidth="1"/>
    <col min="3" max="3" width="10.625" style="16" customWidth="1"/>
    <col min="4" max="4" width="12.375" style="16" customWidth="1"/>
    <col min="5" max="5" width="13.125" style="16" customWidth="1"/>
    <col min="6" max="6" width="9.125" style="16" customWidth="1"/>
    <col min="7" max="7" width="7.75390625" style="16" customWidth="1"/>
    <col min="8" max="8" width="10.00390625" style="16" customWidth="1"/>
    <col min="9" max="9" width="11.625" style="16" customWidth="1"/>
    <col min="10" max="10" width="8.00390625" style="16" customWidth="1"/>
    <col min="11" max="11" width="7.75390625" style="16" customWidth="1"/>
    <col min="12" max="12" width="12.125" style="16" customWidth="1"/>
    <col min="13" max="13" width="11.875" style="16" customWidth="1"/>
    <col min="14" max="14" width="10.875" style="16" customWidth="1"/>
    <col min="15" max="15" width="9.125" style="16" customWidth="1"/>
    <col min="16" max="16" width="10.75390625" style="16" customWidth="1"/>
    <col min="17" max="27" width="9.125" style="1" customWidth="1"/>
  </cols>
  <sheetData>
    <row r="1" spans="1:6" ht="12.75">
      <c r="A1" s="17" t="s">
        <v>0</v>
      </c>
      <c r="B1" s="16" t="s">
        <v>2</v>
      </c>
      <c r="C1" s="16" t="s">
        <v>4</v>
      </c>
      <c r="D1" s="7" t="s">
        <v>5</v>
      </c>
      <c r="F1" s="7"/>
    </row>
    <row r="2" spans="1:27" ht="12.75">
      <c r="A2" s="17"/>
      <c r="B2" s="16" t="s">
        <v>32</v>
      </c>
      <c r="D2" s="7"/>
      <c r="F2" s="7"/>
      <c r="I2" s="16" t="s">
        <v>36</v>
      </c>
      <c r="M2" s="16" t="s">
        <v>38</v>
      </c>
      <c r="P2" s="16" t="s">
        <v>39</v>
      </c>
      <c r="Q2" s="16"/>
      <c r="R2" s="16"/>
      <c r="S2" s="16" t="s">
        <v>40</v>
      </c>
      <c r="U2" s="16" t="s">
        <v>42</v>
      </c>
      <c r="W2" s="1" t="s">
        <v>45</v>
      </c>
      <c r="Y2" s="16"/>
      <c r="Z2" s="16"/>
      <c r="AA2" s="16"/>
    </row>
    <row r="3" spans="1:27" ht="12.75">
      <c r="A3" s="16" t="s">
        <v>14</v>
      </c>
      <c r="B3" s="8">
        <v>45</v>
      </c>
      <c r="C3" s="8">
        <v>18.7</v>
      </c>
      <c r="D3" s="7">
        <f>SIGN(B3)*(ABS(B3)+C3/60)</f>
        <v>45.31166666666667</v>
      </c>
      <c r="E3" s="16" t="str">
        <f>IF(D3&lt;0,"-","+")&amp;TEXT(INT(ABS(D3)),"0")&amp;CHAR(176)&amp;TEXT(60*(ABS(D3)-INT(ABS(D3)))," #0.#")&amp;"'"</f>
        <v>+45° 18.7'</v>
      </c>
      <c r="F3" s="7">
        <f>RADIANS(D3)</f>
        <v>0.7908377728994973</v>
      </c>
      <c r="G3" s="16" t="s">
        <v>16</v>
      </c>
      <c r="I3" s="8">
        <v>-23</v>
      </c>
      <c r="J3" s="8">
        <v>10.3</v>
      </c>
      <c r="M3" s="8">
        <v>12</v>
      </c>
      <c r="N3" s="8">
        <v>22.6</v>
      </c>
      <c r="P3" s="8">
        <v>-13</v>
      </c>
      <c r="Q3" s="8">
        <v>21.8</v>
      </c>
      <c r="R3" s="20" t="s">
        <v>18</v>
      </c>
      <c r="S3" s="8">
        <v>28</v>
      </c>
      <c r="T3" s="8">
        <v>37</v>
      </c>
      <c r="U3" s="8">
        <v>-15</v>
      </c>
      <c r="V3" s="8">
        <v>37</v>
      </c>
      <c r="W3" s="1">
        <v>-50</v>
      </c>
      <c r="X3" s="1">
        <v>0</v>
      </c>
      <c r="Y3" s="16"/>
      <c r="Z3" s="16"/>
      <c r="AA3" s="16"/>
    </row>
    <row r="4" spans="1:27" ht="12.75">
      <c r="A4" s="16" t="s">
        <v>48</v>
      </c>
      <c r="B4" s="8">
        <v>40</v>
      </c>
      <c r="C4" s="8">
        <v>0</v>
      </c>
      <c r="D4" s="7">
        <f>SIGN(B4)*(ABS(B4)+C4/60)</f>
        <v>40</v>
      </c>
      <c r="E4" s="16" t="str">
        <f>IF(D4&lt;0,"-","+")&amp;TEXT(INT(ABS(D4)),"0")&amp;CHAR(176)&amp;TEXT(60*(ABS(D4)-INT(ABS(D4)))," #0.#")&amp;"'"</f>
        <v>+40° 0.'</v>
      </c>
      <c r="F4" s="7">
        <f>RADIANS(D4)</f>
        <v>0.6981317007977318</v>
      </c>
      <c r="G4" s="16" t="s">
        <v>50</v>
      </c>
      <c r="I4" s="8">
        <v>29</v>
      </c>
      <c r="J4" s="8">
        <v>11</v>
      </c>
      <c r="M4" s="8">
        <v>34</v>
      </c>
      <c r="N4" s="8">
        <v>38</v>
      </c>
      <c r="P4" s="8">
        <v>40</v>
      </c>
      <c r="Q4" s="8">
        <v>0</v>
      </c>
      <c r="R4" s="20" t="s">
        <v>48</v>
      </c>
      <c r="S4" s="8">
        <v>40</v>
      </c>
      <c r="T4" s="8">
        <v>0</v>
      </c>
      <c r="U4" s="8">
        <v>-40</v>
      </c>
      <c r="V4" s="8">
        <v>0</v>
      </c>
      <c r="W4" s="1">
        <v>-40</v>
      </c>
      <c r="X4" s="1">
        <v>0</v>
      </c>
      <c r="Y4" s="16"/>
      <c r="Z4" s="16"/>
      <c r="AA4" s="16"/>
    </row>
    <row r="5" spans="1:27" ht="12.75">
      <c r="A5" s="16" t="s">
        <v>21</v>
      </c>
      <c r="B5" s="8">
        <v>77</v>
      </c>
      <c r="C5" s="8">
        <v>26.5</v>
      </c>
      <c r="D5" s="7">
        <f>IF(B5&lt;&gt;0,SIGN(B5),1)*(ABS(B5)+C5/60)</f>
        <v>77.44166666666666</v>
      </c>
      <c r="E5" s="16" t="str">
        <f>IF(D5&lt;0,"-","+")&amp;TEXT(INT(ABS(D5)),"0")&amp;CHAR(176)&amp;TEXT(60*(ABS(D5)-INT(ABS(D5)))," #0.#")&amp;"'"</f>
        <v>+77° 26.5'</v>
      </c>
      <c r="F5" s="7">
        <f>RADIANS(D5)</f>
        <v>1.3516120615652754</v>
      </c>
      <c r="G5" s="16" t="s">
        <v>22</v>
      </c>
      <c r="I5" s="8">
        <v>-42</v>
      </c>
      <c r="J5" s="8">
        <v>23.2</v>
      </c>
      <c r="M5" s="8">
        <v>-9</v>
      </c>
      <c r="N5" s="8">
        <v>55.6</v>
      </c>
      <c r="P5" s="8">
        <v>40</v>
      </c>
      <c r="Q5" s="8">
        <v>53.3</v>
      </c>
      <c r="R5" s="20" t="s">
        <v>21</v>
      </c>
      <c r="S5" s="8">
        <v>-71</v>
      </c>
      <c r="T5" s="8">
        <v>36.9</v>
      </c>
      <c r="U5" s="8">
        <v>20</v>
      </c>
      <c r="V5" s="8">
        <v>36.9</v>
      </c>
      <c r="W5" s="1">
        <v>-120</v>
      </c>
      <c r="X5" s="1">
        <v>0</v>
      </c>
      <c r="Y5" s="16"/>
      <c r="Z5" s="16"/>
      <c r="AA5" s="16"/>
    </row>
    <row r="6" spans="1:27" ht="12.75">
      <c r="A6" s="20" t="s">
        <v>41</v>
      </c>
      <c r="B6" s="8">
        <v>-75</v>
      </c>
      <c r="C6" s="8">
        <v>0</v>
      </c>
      <c r="D6" s="7">
        <f>SIGN(B6)*(ABS(B6)+C6/60)</f>
        <v>-75</v>
      </c>
      <c r="E6" s="16" t="str">
        <f>IF(D6&lt;0,"-","+")&amp;TEXT(INT(ABS(D6)),"0")&amp;CHAR(176)&amp;TEXT(60*(ABS(D6)-INT(ABS(D6)))," #0.#")&amp;"'"</f>
        <v>-75° 0.'</v>
      </c>
      <c r="F6" s="7">
        <f>RADIANS(D6)</f>
        <v>-1.3089969389957472</v>
      </c>
      <c r="I6" s="8">
        <v>-78</v>
      </c>
      <c r="J6" s="8">
        <v>29</v>
      </c>
      <c r="M6" s="8">
        <v>-65</v>
      </c>
      <c r="N6" s="8">
        <v>12</v>
      </c>
      <c r="P6" s="8">
        <v>-60</v>
      </c>
      <c r="Q6" s="8">
        <v>0</v>
      </c>
      <c r="R6" s="20" t="s">
        <v>41</v>
      </c>
      <c r="S6" s="8">
        <v>-60</v>
      </c>
      <c r="T6" s="8">
        <v>0</v>
      </c>
      <c r="U6" s="8">
        <v>20</v>
      </c>
      <c r="V6" s="8">
        <v>0</v>
      </c>
      <c r="W6" s="1">
        <v>20</v>
      </c>
      <c r="X6" s="1">
        <v>0</v>
      </c>
      <c r="Y6" s="16"/>
      <c r="Z6" s="16"/>
      <c r="AA6" s="16"/>
    </row>
    <row r="7" spans="1:27" ht="12.75">
      <c r="A7" s="20" t="s">
        <v>19</v>
      </c>
      <c r="B7" s="8">
        <v>35</v>
      </c>
      <c r="C7" s="8">
        <v>2.3</v>
      </c>
      <c r="D7" s="7">
        <f>SIGN(B7)*(ABS(B7)+C7/60)</f>
        <v>35.038333333333334</v>
      </c>
      <c r="E7" s="16" t="str">
        <f>IF(D7&lt;0,"-","+")&amp;TEXT(INT(ABS(D7)),"0")&amp;CHAR(176)&amp;TEXT(60*(ABS(D7)-INT(ABS(D7)))," #0.#")&amp;"'"</f>
        <v>+35° 2.3'</v>
      </c>
      <c r="F7" s="7">
        <f>RADIANS(D7)</f>
        <v>0.6115342810779465</v>
      </c>
      <c r="I7" s="8">
        <v>24</v>
      </c>
      <c r="J7" s="8">
        <v>4.3</v>
      </c>
      <c r="K7" s="16" t="s">
        <v>26</v>
      </c>
      <c r="M7" s="8">
        <v>66</v>
      </c>
      <c r="N7" s="8">
        <v>11.6</v>
      </c>
      <c r="P7" s="8">
        <v>24</v>
      </c>
      <c r="Q7" s="8">
        <v>30.7</v>
      </c>
      <c r="R7" s="20" t="s">
        <v>19</v>
      </c>
      <c r="S7" s="8">
        <v>31</v>
      </c>
      <c r="T7" s="8">
        <v>19.8</v>
      </c>
      <c r="U7" s="8">
        <v>59</v>
      </c>
      <c r="V7" s="8">
        <v>43</v>
      </c>
      <c r="W7" s="1">
        <v>14</v>
      </c>
      <c r="X7" s="1">
        <v>0</v>
      </c>
      <c r="Y7" s="16"/>
      <c r="Z7" s="16"/>
      <c r="AA7" s="16"/>
    </row>
    <row r="8" spans="2:6" ht="12.75">
      <c r="B8" s="8"/>
      <c r="C8" s="8"/>
      <c r="D8" s="7"/>
      <c r="F8" s="7"/>
    </row>
    <row r="9" spans="4:6" ht="12.75">
      <c r="D9" s="7"/>
      <c r="F9" s="7"/>
    </row>
    <row r="10" ht="12.75">
      <c r="A10" s="16" t="s">
        <v>11</v>
      </c>
    </row>
    <row r="11" spans="1:3" ht="12.75">
      <c r="A11" s="16" t="s">
        <v>46</v>
      </c>
      <c r="B11" s="7">
        <f>ABS(DEGREES(ATAN(TAN(F3)/COS(F5))))</f>
        <v>77.86169793744834</v>
      </c>
      <c r="C11" s="16" t="str">
        <f>IF(B11&lt;0,"-","+")&amp;TEXT(INT(ABS(B11)),"0")&amp;CHAR(176)&amp;TEXT(60*(ABS(B11)-INT(ABS(B11)))," ##.#")&amp;"'"</f>
        <v>+77° 51.7'</v>
      </c>
    </row>
    <row r="12" spans="1:3" ht="12.75">
      <c r="A12" s="16" t="s">
        <v>20</v>
      </c>
      <c r="B12" s="7">
        <f>ABS(DEGREES(ATAN(COS(RADIANS(B11))*TAN(F5))))</f>
        <v>43.34776277383605</v>
      </c>
      <c r="C12" s="16" t="str">
        <f>IF(B12&lt;0,"-","+")&amp;TEXT(INT(ABS(B12)),"0")&amp;CHAR(176)&amp;TEXT(60*(ABS(B12)-INT(ABS(B12)))," ##.#")&amp;"'"</f>
        <v>+43° 20.9'</v>
      </c>
    </row>
    <row r="14" spans="1:16" ht="12.75">
      <c r="A14" s="16" t="s">
        <v>24</v>
      </c>
      <c r="C14" s="16" t="s">
        <v>25</v>
      </c>
      <c r="I14" s="24" t="str">
        <f>IF(OR(AND(F3&gt;0,F4&gt;0),AND(F3&lt;0,F4&lt;0)),"same","contrary")</f>
        <v>same</v>
      </c>
      <c r="J14" s="24" t="str">
        <f>IF(D5&lt;90,"t&lt;90","t&gt;90")</f>
        <v>t&lt;90</v>
      </c>
      <c r="K14" s="24" t="str">
        <f>IF(F4&lt;B11,"L&lt;b","L&gt;b")</f>
        <v>L&lt;b</v>
      </c>
      <c r="L14" s="24"/>
      <c r="M14" s="24" t="s">
        <v>27</v>
      </c>
      <c r="N14" s="24" t="s">
        <v>28</v>
      </c>
      <c r="P14" s="16" t="s">
        <v>29</v>
      </c>
    </row>
    <row r="15" spans="1:16" ht="12.75">
      <c r="A15" s="16" t="s">
        <v>10</v>
      </c>
      <c r="B15" s="16" t="s">
        <v>30</v>
      </c>
      <c r="C15" s="16" t="s">
        <v>1</v>
      </c>
      <c r="D15" s="16" t="s">
        <v>3</v>
      </c>
      <c r="E15" s="16" t="str">
        <f>IF(OR(AND(D3&gt;0,F4&gt;0),AND(F3&lt;0,F4&lt;0)),"same","contrary")</f>
        <v>same</v>
      </c>
      <c r="F15" s="25" t="s">
        <v>6</v>
      </c>
      <c r="H15" s="20" t="s">
        <v>8</v>
      </c>
      <c r="I15" s="16" t="b">
        <f>IF(I14="same",TRUE,FALSE)</f>
        <v>1</v>
      </c>
      <c r="J15" s="16" t="b">
        <f>IF(ABS(D5)&lt;90,TRUE,FALSE)</f>
        <v>1</v>
      </c>
      <c r="K15" s="16" t="b">
        <f>IF(ABS(D4)&lt;B11,TRUE,FALSE)</f>
        <v>1</v>
      </c>
      <c r="L15" s="16" t="str">
        <f>IF(OR(I15=FALSE,J15=FALSE,K15=FALSE),"not this case","yes")</f>
        <v>yes</v>
      </c>
      <c r="M15" s="7">
        <f>IF(L15="yes",B11-ABS(D4),"")</f>
        <v>37.86169793744834</v>
      </c>
      <c r="N15" s="7">
        <f>IF(M15&lt;&gt;"",90-M15,"")</f>
        <v>52.13830206255166</v>
      </c>
      <c r="P15" s="16">
        <f>IF(AND(M15&lt;&gt;""),IF(F15="Z&gt;90",L$29,H$29),".")</f>
        <v>303.03260200117217</v>
      </c>
    </row>
    <row r="16" spans="1:16" ht="12.75">
      <c r="A16" s="16" t="s">
        <v>10</v>
      </c>
      <c r="B16" s="16" t="s">
        <v>30</v>
      </c>
      <c r="C16" s="16" t="s">
        <v>31</v>
      </c>
      <c r="D16" s="16" t="s">
        <v>33</v>
      </c>
      <c r="F16" s="12" t="s">
        <v>34</v>
      </c>
      <c r="I16" s="16" t="b">
        <f>IF(I14="same",TRUE,FALSE)</f>
        <v>1</v>
      </c>
      <c r="J16" s="16" t="b">
        <f>IF(ABS(D5)&lt;90,TRUE,FALSE)</f>
        <v>1</v>
      </c>
      <c r="K16" s="16" t="b">
        <f>NOT(IF(ABS(D4)&lt;B11,TRUE,FALSE))</f>
        <v>0</v>
      </c>
      <c r="L16" s="16" t="str">
        <f>IF(OR(I16=FALSE,J16=FALSE,K16=FALSE),"not this case","yes")</f>
        <v>not this case</v>
      </c>
      <c r="M16" s="7">
        <f>IF(L16="yes",ABS(D4)-B11,"")</f>
      </c>
      <c r="N16" s="7">
        <f>IF(M16&lt;&gt;"",90-M16,"")</f>
      </c>
      <c r="P16" s="2" t="str">
        <f>IF(AND(M16&lt;&gt;""),IF(F16="Z&gt;90",L$29,H$29),".")</f>
        <v>.</v>
      </c>
    </row>
    <row r="17" spans="1:16" ht="12.75">
      <c r="A17" s="16" t="s">
        <v>10</v>
      </c>
      <c r="B17" s="16" t="s">
        <v>12</v>
      </c>
      <c r="D17" s="16" t="s">
        <v>15</v>
      </c>
      <c r="F17" s="25" t="s">
        <v>6</v>
      </c>
      <c r="I17" s="16" t="b">
        <f>IF(I14="same",TRUE,FALSE)</f>
        <v>1</v>
      </c>
      <c r="J17" s="16" t="b">
        <f>NOT(IF(ABS(D5)&lt;90,TRUE,FALSE))</f>
        <v>0</v>
      </c>
      <c r="K17" s="16" t="s">
        <v>17</v>
      </c>
      <c r="L17" s="16" t="str">
        <f>IF(OR(I17=FALSE,J17=FALSE,K17=FALSE),"not this case","yes")</f>
        <v>not this case</v>
      </c>
      <c r="M17" s="7">
        <f>IF(L17="yes",180-(ABS(D4)+B11),"")</f>
      </c>
      <c r="N17" s="7">
        <f>IF(M17&lt;&gt;"",90-M17,"")</f>
      </c>
      <c r="P17" s="16" t="str">
        <f>IF(AND(M17&lt;&gt;""),IF(F17="Z&gt;90",L$29,H$29),".")</f>
        <v>.</v>
      </c>
    </row>
    <row r="18" spans="1:16" ht="12.75">
      <c r="A18" s="16" t="s">
        <v>43</v>
      </c>
      <c r="D18" s="16" t="s">
        <v>49</v>
      </c>
      <c r="F18" s="12" t="s">
        <v>34</v>
      </c>
      <c r="I18" s="16" t="b">
        <f>NOT(IF(I14="same",TRUE,FALSE))</f>
        <v>0</v>
      </c>
      <c r="J18" s="16" t="s">
        <v>17</v>
      </c>
      <c r="K18" s="16" t="s">
        <v>17</v>
      </c>
      <c r="L18" s="16" t="str">
        <f>IF(OR(I18=FALSE,J18=FALSE,K18=FALSE),"not this case","yes")</f>
        <v>not this case</v>
      </c>
      <c r="M18" s="7">
        <f>IF(L18="yes",ABS(D4)+B11,"")</f>
      </c>
      <c r="N18" s="7">
        <f>IF(M18&lt;&gt;"",90-M18,"")</f>
      </c>
      <c r="P18" s="16" t="str">
        <f>IF(AND(M18&lt;&gt;""),IF(F18="Z&gt;90",L$29,H$29),".")</f>
        <v>.</v>
      </c>
    </row>
    <row r="20" spans="1:16" ht="12.75">
      <c r="A20" s="20" t="s">
        <v>54</v>
      </c>
      <c r="C20" s="2"/>
      <c r="D20" s="7">
        <f>DEGREES(ATAN(TAN(RADIANS(B12))/COS(RADIANS(N20))))</f>
        <v>56.96739799882782</v>
      </c>
      <c r="E20" s="3" t="str">
        <f>IF(D20&lt;0,"-","+")&amp;TEXT(INT(ABS(D20)),"0")&amp;CHAR(176)&amp;TEXT(60*(ABS(D20)-INT(ABS(D20)))," #0.0")&amp;"'"</f>
        <v>+56° 58.0'</v>
      </c>
      <c r="G20" s="7"/>
      <c r="M20" s="7"/>
      <c r="N20" s="7">
        <f>MAX(N15:N18)</f>
        <v>52.13830206255166</v>
      </c>
      <c r="O20" s="7"/>
      <c r="P20" s="2">
        <f>MAX(P15:P18)</f>
        <v>303.03260200117217</v>
      </c>
    </row>
    <row r="21" spans="1:14" ht="12.75">
      <c r="A21" s="20" t="s">
        <v>13</v>
      </c>
      <c r="C21" s="2"/>
      <c r="D21" s="7">
        <f>P20</f>
        <v>303.03260200117217</v>
      </c>
      <c r="E21" s="3" t="str">
        <f>IF(D21&lt;0,"-","+")&amp;TEXT(INT(ABS(D21)),"0")&amp;CHAR(176)&amp;TEXT(60*(ABS(D21)-INT(ABS(D21)))," #0.0")&amp;"'"</f>
        <v>+303° 2.0'</v>
      </c>
      <c r="G21" s="7"/>
      <c r="M21" s="7"/>
      <c r="N21" s="7"/>
    </row>
    <row r="22" spans="1:9" ht="12.75">
      <c r="A22" s="20" t="s">
        <v>47</v>
      </c>
      <c r="C22" s="2"/>
      <c r="D22" s="7">
        <f>DEGREES(ATAN(COS(RADIANS(D20))*TAN(RADIANS(N20))))</f>
        <v>35.03810330934298</v>
      </c>
      <c r="E22" s="3" t="str">
        <f>IF(D22&lt;0,"-","+")&amp;TEXT(INT(ABS(D22)),"0")&amp;CHAR(176)&amp;TEXT(60*(ABS(D22)-INT(ABS(D22)))," ##.0")&amp;"'"</f>
        <v>+35° 2.3'</v>
      </c>
      <c r="G22" s="20" t="s">
        <v>7</v>
      </c>
      <c r="H22" s="7">
        <f>IF(D5&lt;0,D5+360,D5)</f>
        <v>77.44166666666666</v>
      </c>
      <c r="I22" s="16" t="str">
        <f>IF(H22&lt;0,"-","+")&amp;TEXT(INT(ABS(H22)),"0")&amp;CHAR(176)&amp;TEXT(60*(ABS(H22)-INT(ABS(H22)))," #0.0")&amp;"'"</f>
        <v>+77° 26.5'</v>
      </c>
    </row>
    <row r="23" spans="8:13" ht="12.75">
      <c r="H23" s="13" t="s">
        <v>35</v>
      </c>
      <c r="I23" s="21"/>
      <c r="L23" s="18" t="s">
        <v>37</v>
      </c>
      <c r="M23" s="4"/>
    </row>
    <row r="24" spans="3:13" ht="12.75">
      <c r="C24" s="26" t="s">
        <v>13</v>
      </c>
      <c r="D24" s="7">
        <f>180+DEGREES(ATAN2(COS(F5)*SIN(F4)-TAN(F3)*COS(F4),SIN(F5)))</f>
        <v>303.03260200117217</v>
      </c>
      <c r="E24" s="9" t="str">
        <f>IF(D24&lt;0,"-","+")&amp;TEXT(INT(ABS(D24)),"0")&amp;CHAR(176)&amp;TEXT(60*(ABS(D24)-INT(ABS(D24)))," #0.0")&amp;"'"</f>
        <v>+303° 2.0'</v>
      </c>
      <c r="G24" s="16" t="s">
        <v>13</v>
      </c>
      <c r="H24" s="22" t="str">
        <f>IF(AND(D4&gt;0,H22&gt;180),D20,".")</f>
        <v>.</v>
      </c>
      <c r="I24" s="23" t="str">
        <f>IF(H24&lt;&gt;".",IF(H24&lt;0,"-","+")&amp;TEXT(INT(ABS(H24)),"0")&amp;CHAR(176)&amp;TEXT(60*(ABS(H24)-INT(ABS(H24)))," ##.#")&amp;"'",".")</f>
        <v>.</v>
      </c>
      <c r="L24" s="15" t="str">
        <f>IF(AND(D4&lt;0,H22&gt;180),D20,".")</f>
        <v>.</v>
      </c>
      <c r="M24" s="10" t="str">
        <f>IF(L24&lt;&gt;".",IF(L24&lt;0,"-","+")&amp;TEXT(INT(ABS(L24)),"0")&amp;CHAR(176)&amp;TEXT(60*(ABS(L24)-INT(ABS(L24)))," ##.#")&amp;"'",".")</f>
        <v>.</v>
      </c>
    </row>
    <row r="25" spans="2:13" ht="12.75">
      <c r="B25" s="26" t="s">
        <v>44</v>
      </c>
      <c r="C25" s="26" t="s">
        <v>47</v>
      </c>
      <c r="D25" s="7">
        <f>DEGREES(ASIN(SIN(F3)*SIN(F4)+COS(F3)*COS(F4)*COS(F5)))</f>
        <v>35.03810330934298</v>
      </c>
      <c r="E25" s="9" t="str">
        <f>IF(D25&lt;0,"-","+")&amp;TEXT(INT(ABS(D25)),"0")&amp;CHAR(176)&amp;TEXT(60*(ABS(D25)-INT(ABS(D25)))," ##.0")&amp;"'"</f>
        <v>+35° 2.3'</v>
      </c>
      <c r="H25" s="22">
        <f>IF(AND(D4&gt;0,H22&lt;180),360-D20,".")</f>
        <v>303.03260200117217</v>
      </c>
      <c r="I25" s="23" t="str">
        <f>IF(H25&lt;&gt;".",IF(H25&lt;0,"-","+")&amp;TEXT(INT(ABS(H25)),"0")&amp;CHAR(176)&amp;TEXT(60*(ABS(H25)-INT(ABS(H25)))," ##.#")&amp;"'",".")</f>
        <v>+303° 2.'</v>
      </c>
      <c r="L25" s="15" t="str">
        <f>IF(AND(D4&lt;0,H22&lt;180),360-D20,".")</f>
        <v>.</v>
      </c>
      <c r="M25" s="10" t="str">
        <f>IF(L25&lt;&gt;".",IF(L25&lt;0,"-","+")&amp;TEXT(INT(ABS(L25)),"0")&amp;CHAR(176)&amp;TEXT(60*(ABS(L25)-INT(ABS(L25)))," ##.#")&amp;"'",".")</f>
        <v>.</v>
      </c>
    </row>
    <row r="26" spans="8:13" ht="12.75">
      <c r="H26" s="22" t="str">
        <f>IF(AND(D4&lt;0,H22&gt;180),180-D20,".")</f>
        <v>.</v>
      </c>
      <c r="I26" s="23" t="str">
        <f>IF(H26&lt;&gt;".",IF(H26&lt;0,"-","+")&amp;TEXT(INT(ABS(H26)),"0")&amp;CHAR(176)&amp;TEXT(60*(ABS(H26)-INT(ABS(H26)))," ##.#")&amp;"'",".")</f>
        <v>.</v>
      </c>
      <c r="L26" s="15" t="str">
        <f>IF(AND(D4&gt;0,H22&gt;180),180-D20,".")</f>
        <v>.</v>
      </c>
      <c r="M26" s="10" t="str">
        <f>IF(L26&lt;&gt;".",IF(L26&lt;0,"-","+")&amp;TEXT(INT(ABS(L26)),"0")&amp;CHAR(176)&amp;TEXT(60*(ABS(L26)-INT(ABS(L26)))," ##.#")&amp;"'",".")</f>
        <v>.</v>
      </c>
    </row>
    <row r="27" spans="8:13" ht="12.75">
      <c r="H27" s="19" t="str">
        <f>IF(AND(D4&lt;0,H22&lt;180),180+D20,".")</f>
        <v>.</v>
      </c>
      <c r="I27" s="5" t="str">
        <f>IF(H27&lt;&gt;".",IF(H27&lt;0,"-","+")&amp;TEXT(INT(ABS(H27)),"0")&amp;CHAR(176)&amp;TEXT(60*(ABS(H27)-INT(ABS(H27)))," ##.#")&amp;"'",".")</f>
        <v>.</v>
      </c>
      <c r="L27" s="11">
        <f>IF(AND(D4&gt;0,H22&lt;180),180+D20,".")</f>
        <v>236.96739799882783</v>
      </c>
      <c r="M27" s="6" t="str">
        <f>IF(L27&lt;&gt;".",IF(L27&lt;0,"-","+")&amp;TEXT(INT(ABS(L27)),"0")&amp;CHAR(176)&amp;TEXT(60*(ABS(L27)-INT(ABS(L27)))," ##.#")&amp;"'",".")</f>
        <v>+236° 58.'</v>
      </c>
    </row>
    <row r="29" spans="8:12" ht="12.75">
      <c r="H29" s="16">
        <f>MAX(H24:H27)</f>
        <v>303.03260200117217</v>
      </c>
      <c r="L29" s="16">
        <f>MAX(L24:L27)</f>
        <v>236.96739799882783</v>
      </c>
    </row>
    <row r="32" spans="1:6" ht="12.75">
      <c r="A32" s="20" t="s">
        <v>41</v>
      </c>
      <c r="B32" s="14">
        <f>B6</f>
        <v>-75</v>
      </c>
      <c r="C32" s="14">
        <f>C6</f>
        <v>0</v>
      </c>
      <c r="D32" s="7">
        <f>SIGN(B32)*(ABS(B32)+C32/60)</f>
        <v>-75</v>
      </c>
      <c r="E32" s="16" t="str">
        <f>IF(D32&lt;0,"-","+")&amp;TEXT(INT(ABS(D32)),"0")&amp;CHAR(176)&amp;TEXT(60*(ABS(D32)-INT(ABS(D32)))," #0.#")&amp;"'"</f>
        <v>-75° 0.'</v>
      </c>
      <c r="F32" s="7"/>
    </row>
    <row r="34" spans="1:3" ht="12.75">
      <c r="A34" s="20" t="s">
        <v>53</v>
      </c>
      <c r="B34" s="7">
        <f>D32-1</f>
        <v>-76</v>
      </c>
      <c r="C34" s="7">
        <f>D4+1</f>
        <v>41</v>
      </c>
    </row>
    <row r="35" spans="1:3" ht="12.75">
      <c r="A35" s="20"/>
      <c r="B35" s="7">
        <f>B34+2</f>
        <v>-74</v>
      </c>
      <c r="C35" s="7">
        <f>C34</f>
        <v>41</v>
      </c>
    </row>
    <row r="36" spans="1:3" ht="12.75">
      <c r="A36" s="20"/>
      <c r="B36" s="7">
        <f>B35</f>
        <v>-74</v>
      </c>
      <c r="C36" s="7">
        <f>C35-2</f>
        <v>39</v>
      </c>
    </row>
    <row r="37" spans="1:3" ht="12.75">
      <c r="A37" s="20"/>
      <c r="B37" s="7">
        <f>B34</f>
        <v>-76</v>
      </c>
      <c r="C37" s="7">
        <f>C36</f>
        <v>39</v>
      </c>
    </row>
    <row r="38" spans="1:3" ht="12.75">
      <c r="A38" s="20"/>
      <c r="B38" s="7">
        <f>D32-1</f>
        <v>-76</v>
      </c>
      <c r="C38" s="7">
        <f>D4+1</f>
        <v>41</v>
      </c>
    </row>
    <row r="40" spans="1:6" ht="12.75">
      <c r="A40" s="20" t="s">
        <v>19</v>
      </c>
      <c r="B40" s="16">
        <f>B7</f>
        <v>35</v>
      </c>
      <c r="C40" s="16">
        <f>C7</f>
        <v>2.3</v>
      </c>
      <c r="D40" s="7">
        <f>SIGN(B40)*(ABS(B40)+C40/60)</f>
        <v>35.038333333333334</v>
      </c>
      <c r="E40" s="16" t="str">
        <f>IF(D40&lt;0,"-","+")&amp;TEXT(INT(ABS(D40)),"0")&amp;CHAR(176)&amp;TEXT(60*(ABS(D40)-INT(ABS(D40)))," #0.#")&amp;"'"</f>
        <v>+35° 2.3'</v>
      </c>
      <c r="F40" s="7"/>
    </row>
    <row r="41" spans="1:4" ht="12.75">
      <c r="A41" s="20" t="s">
        <v>52</v>
      </c>
      <c r="D41" s="7">
        <f>D40-D25</f>
        <v>0.00023002399035476628</v>
      </c>
    </row>
    <row r="42" spans="1:4" ht="12.75">
      <c r="A42" s="20" t="s">
        <v>23</v>
      </c>
      <c r="D42" s="7">
        <f>D41*COS(RADIANS(D21))</f>
        <v>0.00012538979448118798</v>
      </c>
    </row>
    <row r="43" spans="1:4" ht="12.75">
      <c r="A43" s="20" t="s">
        <v>55</v>
      </c>
      <c r="D43" s="7">
        <f>D41*SIN(RADIANS(D21))</f>
        <v>-0.00019284303352388714</v>
      </c>
    </row>
    <row r="45" spans="1:3" ht="12.75">
      <c r="A45" s="20" t="s">
        <v>9</v>
      </c>
      <c r="B45" s="7">
        <f>D32</f>
        <v>-75</v>
      </c>
      <c r="C45" s="7">
        <f>D4</f>
        <v>40</v>
      </c>
    </row>
    <row r="46" spans="2:3" ht="12.75">
      <c r="B46" s="7">
        <f>B45+D43/COS(RADIANS(D4))</f>
        <v>-75.00025173870166</v>
      </c>
      <c r="C46" s="7">
        <f>C45+D42</f>
        <v>40.00012538979448</v>
      </c>
    </row>
    <row r="48" spans="1:3" ht="12.75">
      <c r="A48" s="20" t="s">
        <v>51</v>
      </c>
      <c r="B48" s="7">
        <f>B46-SIN(RADIANS(D21-90))/COS(RADIANS(D4))</f>
        <v>-74.28865312904722</v>
      </c>
      <c r="C48" s="7">
        <f>C46-COS(RADIANS(D21-90))</f>
        <v>40.83848591569643</v>
      </c>
    </row>
    <row r="49" spans="2:3" ht="12.75">
      <c r="B49" s="7">
        <f>B46+SIN(RADIANS(D21-90))/COS(RADIANS(D4))</f>
        <v>-75.71185034835611</v>
      </c>
      <c r="C49" s="7">
        <f>C46+COS(RADIANS(D21-90))</f>
        <v>39.161764863892536</v>
      </c>
    </row>
    <row r="57" ht="12.75">
      <c r="A57" s="20"/>
    </row>
    <row r="58" spans="1:3" ht="12.75">
      <c r="A58" s="20"/>
      <c r="B58" s="7"/>
      <c r="C58" s="7"/>
    </row>
    <row r="59" spans="2:3" ht="12.75">
      <c r="B59" s="7"/>
      <c r="C59" s="7"/>
    </row>
    <row r="61" spans="1:3" ht="12.75">
      <c r="A61" s="20"/>
      <c r="B61" s="7"/>
      <c r="C61" s="7"/>
    </row>
    <row r="62" spans="2:3" ht="12.75">
      <c r="B62" s="7"/>
      <c r="C62" s="7"/>
    </row>
  </sheetData>
  <printOptions/>
  <pageMargins left="0.75" right="0.75" top="1.6666666666666667" bottom="1.6666666666666667" header="0" footer="0"/>
  <pageSetup cellComments="asDisplayed" fitToHeight="1" fitToWidth="1" horizontalDpi="600" verticalDpi="600" orientation="portrait" paperSize="9" scale="51"/>
  <headerFooter alignWithMargins="0">
    <oddHeader>&amp;L&amp;[TAB]</oddHeader>
    <oddFooter>&amp;LPage &amp;[PAGE]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SheetLayoutView="1" workbookViewId="0" topLeftCell="A1">
      <selection activeCell="F60" sqref="F60"/>
    </sheetView>
  </sheetViews>
  <sheetFormatPr defaultColWidth="9.00390625" defaultRowHeight="12.75"/>
  <cols>
    <col min="1" max="1" width="4.25390625" style="24" customWidth="1"/>
    <col min="2" max="2" width="9.125" style="35" hidden="1" customWidth="1"/>
    <col min="3" max="3" width="9.125" style="35" customWidth="1"/>
    <col min="4" max="4" width="9.00390625" style="35" customWidth="1"/>
    <col min="5" max="5" width="10.00390625" style="35" hidden="1" customWidth="1"/>
    <col min="6" max="6" width="9.375" style="1" customWidth="1"/>
    <col min="7" max="7" width="8.625" style="35" customWidth="1"/>
    <col min="8" max="8" width="4.875" style="35" customWidth="1"/>
    <col min="9" max="9" width="8.00390625" style="35" customWidth="1"/>
    <col min="10" max="10" width="9.125" style="1" customWidth="1"/>
    <col min="11" max="11" width="5.125" style="35" customWidth="1"/>
    <col min="12" max="12" width="9.125" style="35" hidden="1" customWidth="1"/>
    <col min="13" max="13" width="9.125" style="1" customWidth="1"/>
    <col min="14" max="14" width="9.125" style="35" customWidth="1"/>
    <col min="15" max="15" width="9.75390625" style="35" hidden="1" customWidth="1"/>
    <col min="16" max="16" width="9.125" style="1" customWidth="1"/>
    <col min="17" max="17" width="9.125" style="35" customWidth="1"/>
    <col min="18" max="18" width="4.625" style="1" customWidth="1"/>
    <col min="19" max="19" width="8.25390625" style="1" customWidth="1"/>
  </cols>
  <sheetData>
    <row r="1" spans="5:6" ht="15.75">
      <c r="E1" s="16"/>
      <c r="F1" s="32">
        <v>23</v>
      </c>
    </row>
    <row r="3" spans="5:16" ht="12.75">
      <c r="E3" s="16"/>
      <c r="F3" s="33">
        <f>1/TAN(RADIANS(F1))</f>
        <v>2.3558523658237527</v>
      </c>
      <c r="O3" s="16"/>
      <c r="P3" s="33">
        <f>1/TAN(RADIANS(F1))</f>
        <v>2.3558523658237527</v>
      </c>
    </row>
    <row r="4" spans="4:16" ht="12.75">
      <c r="D4" s="27" t="s">
        <v>20</v>
      </c>
      <c r="F4" s="40" t="str">
        <f>IF(F1&lt;0,"-","+")&amp;TEXT(INT(ABS(F1)),"0")&amp;CHAR(176)&amp;TEXT(60*(ABS(F1)-INT(ABS(F1)))," #0")&amp;"'"</f>
        <v>+23° 0'</v>
      </c>
      <c r="N4" s="27" t="s">
        <v>20</v>
      </c>
      <c r="P4" s="40" t="str">
        <f>IF(O1&lt;0,"-","+")&amp;TEXT(INT(ABS(F1)),"0")&amp;CHAR(176)&amp;TEXT(60*(ABS(F1)-INT(ABS(F1)))," #0")&amp;"'"</f>
        <v>+23° 0'</v>
      </c>
    </row>
    <row r="5" spans="1:15" ht="12.75" hidden="1">
      <c r="A5" s="16"/>
      <c r="B5" s="35" t="s">
        <v>61</v>
      </c>
      <c r="E5" s="35" t="s">
        <v>62</v>
      </c>
      <c r="K5" s="16"/>
      <c r="L5" s="35" t="s">
        <v>61</v>
      </c>
      <c r="O5" s="35" t="s">
        <v>62</v>
      </c>
    </row>
    <row r="6" spans="1:18" ht="13.5">
      <c r="A6" s="24" t="s">
        <v>56</v>
      </c>
      <c r="B6" s="16"/>
      <c r="C6" s="35" t="s">
        <v>57</v>
      </c>
      <c r="E6" s="16"/>
      <c r="F6" s="35" t="s">
        <v>58</v>
      </c>
      <c r="H6" s="35" t="s">
        <v>59</v>
      </c>
      <c r="K6" s="24" t="s">
        <v>56</v>
      </c>
      <c r="L6" s="16"/>
      <c r="M6" s="35" t="s">
        <v>57</v>
      </c>
      <c r="O6" s="16"/>
      <c r="P6" s="35" t="s">
        <v>58</v>
      </c>
      <c r="R6" s="35" t="s">
        <v>59</v>
      </c>
    </row>
    <row r="7" spans="1:19" ht="12.75">
      <c r="A7" s="24">
        <v>0</v>
      </c>
      <c r="B7" s="41">
        <f>DEGREES(ASIN(COS(RADIANS(F$1))*SIN(RADIANS(A7))))</f>
        <v>0</v>
      </c>
      <c r="C7" s="24" t="str">
        <f>IF(B7&lt;0,"-","+")&amp;TEXT(INT(ABS(B7)),"0")&amp;CHAR(176)&amp;TEXT(60*(ABS(B7)-INT(ABS(B7)))," 00")&amp;"'"</f>
        <v>+0° 00'</v>
      </c>
      <c r="D7" s="29">
        <f>1/((1-(COS(RADIANS(F$1))*SIN(RADIANS(A7)))^2)^-0.5*COS(RADIANS(F$1))*COS(RADIANS(A7)))</f>
        <v>1.0863603774052961</v>
      </c>
      <c r="E7" s="41">
        <f>DEGREES(ATAN(TAN(RADIANS(F$1))/COS(RADIANS(A7))))</f>
        <v>23</v>
      </c>
      <c r="F7" s="16" t="str">
        <f>IF(E7&lt;0,"-","+")&amp;TEXT(INT(ABS(E7)),"0")&amp;CHAR(176)&amp;TEXT(60*(ABS(E7)-INT(ABS(E7)))," 00")&amp;"'"</f>
        <v>+23° 00'</v>
      </c>
      <c r="G7" s="29">
        <f>(1+(TAN(RADIANS(F$1))/COS(RADIANS(A7)))^2)^-1*TAN(RADIANS(F$1))*(TAN(RADIANS(A7))/COS(RADIANS(A7)))</f>
        <v>0</v>
      </c>
      <c r="H7" s="30">
        <f>90-A7</f>
        <v>90</v>
      </c>
      <c r="I7" s="31"/>
      <c r="K7" s="24">
        <v>45</v>
      </c>
      <c r="L7" s="41">
        <f>DEGREES(ASIN(COS(RADIANS(F$1))*SIN(RADIANS(K7))))</f>
        <v>40.609131977227925</v>
      </c>
      <c r="M7" s="16" t="str">
        <f>IF(L7&lt;0,"-","+")&amp;TEXT(INT(ABS(L7)),"0")&amp;CHAR(176)&amp;TEXT(60*(ABS(L7)-INT(ABS(L7)))," 00")&amp;"'"</f>
        <v>+40° 37'</v>
      </c>
      <c r="N7" s="29">
        <f>1/((1-(COS(RADIANS(F$1))*SIN(RADIANS(K7)))^2)^-0.5*COS(RADIANS(F$1))*COS(RADIANS(K7)))</f>
        <v>1.1663437482973682</v>
      </c>
      <c r="O7" s="41">
        <f>DEGREES(ATAN(TAN(RADIANS(F$1))/COS(RADIANS(K7))))</f>
        <v>30.97631116560979</v>
      </c>
      <c r="P7" s="16" t="str">
        <f>IF(O7&lt;0,"-","+")&amp;TEXT(INT(ABS(O7)),"0")&amp;CHAR(176)&amp;TEXT(60*(ABS(O7)-INT(ABS(O7)))," 00")&amp;"'"</f>
        <v>+30° 59'</v>
      </c>
      <c r="Q7" s="29">
        <f>(1+(TAN(RADIANS(F$1))/COS(RADIANS(K7)))^2)^-1*TAN(RADIANS(F$1))*(TAN(RADIANS(K7))/COS(RADIANS(K7)))</f>
        <v>0.4412795433691191</v>
      </c>
      <c r="R7" s="30">
        <f>90-K7</f>
        <v>45</v>
      </c>
      <c r="S7" s="31">
        <f>DEGREES(ASIN(SIN(RADIANS(K7))*SIN(RADIANS(90-O7))/SIN(RADIANS(L7))))</f>
        <v>68.65786519224484</v>
      </c>
    </row>
    <row r="8" spans="1:19" ht="12.75">
      <c r="A8" s="24">
        <v>1</v>
      </c>
      <c r="B8" s="41">
        <f>DEGREES(ASIN(COS(RADIANS(F$1))*SIN(RADIANS(A8))))</f>
        <v>0.9204977178701097</v>
      </c>
      <c r="C8" s="24" t="str">
        <f>IF(B8&lt;0,"-","+")&amp;TEXT(INT(ABS(B8)),"0")&amp;CHAR(176)&amp;TEXT(60*(ABS(B8)-INT(ABS(B8)))," 00")&amp;"'"</f>
        <v>+0° 55'</v>
      </c>
      <c r="D8" s="29">
        <f>1/((1-(COS(RADIANS(F$1))*SIN(RADIANS(A8)))^2)^-0.5*COS(RADIANS(F$1))*COS(RADIANS(A8)))</f>
        <v>1.0863856434832597</v>
      </c>
      <c r="E8" s="41">
        <f>DEGREES(ATAN(TAN(RADIANS(F$1))/COS(RADIANS(A8))))</f>
        <v>23.003139037411398</v>
      </c>
      <c r="F8" s="16" t="str">
        <f>IF(E8&lt;0,"-","+")&amp;TEXT(INT(ABS(E8)),"0")&amp;CHAR(176)&amp;TEXT(60*(ABS(E8)-INT(ABS(E8)))," 00")&amp;"'"</f>
        <v>+23° 00'</v>
      </c>
      <c r="G8" s="29">
        <f>(1+(TAN(RADIANS(F$1))/COS(RADIANS(A8)))^2)^-1*TAN(RADIANS(F$1))*(TAN(RADIANS(A8))/COS(RADIANS(A8)))</f>
        <v>0.006278725726084344</v>
      </c>
      <c r="H8" s="30">
        <f>90-A8</f>
        <v>89</v>
      </c>
      <c r="I8" s="31">
        <f>DEGREES(ASIN(SIN(RADIANS(A8))*SIN(RADIANS(90-E8))/SIN(RADIANS(B8))))</f>
        <v>89.60923525098684</v>
      </c>
      <c r="K8" s="24">
        <v>46</v>
      </c>
      <c r="L8" s="41">
        <f>DEGREES(ASIN(COS(RADIANS(F$1))*SIN(RADIANS(K8))))</f>
        <v>41.464492608112394</v>
      </c>
      <c r="M8" s="16" t="str">
        <f>IF(L8&lt;0,"-","+")&amp;TEXT(INT(ABS(L8)),"0")&amp;CHAR(176)&amp;TEXT(60*(ABS(L8)-INT(ABS(L8)))," 00")&amp;"'"</f>
        <v>+41° 28'</v>
      </c>
      <c r="N8" s="29">
        <f>1/((1-(COS(RADIANS(F$1))*SIN(RADIANS(K8)))^2)^-0.5*COS(RADIANS(F$1))*COS(RADIANS(K8)))</f>
        <v>1.171916729603226</v>
      </c>
      <c r="O8" s="41">
        <f>DEGREES(ATAN(TAN(RADIANS(F$1))/COS(RADIANS(K8))))</f>
        <v>31.4272455568418</v>
      </c>
      <c r="P8" s="16" t="str">
        <f>IF(O8&lt;0,"-","+")&amp;TEXT(INT(ABS(O8)),"0")&amp;CHAR(176)&amp;TEXT(60*(ABS(O8)-INT(ABS(O8)))," 00")&amp;"'"</f>
        <v>+31° 26'</v>
      </c>
      <c r="Q8" s="29">
        <f>(1+(TAN(RADIANS(F$1))/COS(RADIANS(K8)))^2)^-1*TAN(RADIANS(F$1))*(TAN(RADIANS(K8))/COS(RADIANS(K8)))</f>
        <v>0.4607336840237574</v>
      </c>
      <c r="R8" s="30">
        <f>90-K8</f>
        <v>44</v>
      </c>
      <c r="S8" s="31">
        <f>DEGREES(ASIN(SIN(RADIANS(K8))*SIN(RADIANS(90-O8))/SIN(RADIANS(L8))))</f>
        <v>67.97105836692162</v>
      </c>
    </row>
    <row r="9" spans="1:19" ht="12.75">
      <c r="A9" s="24">
        <v>2</v>
      </c>
      <c r="B9" s="41">
        <f>DEGREES(ASIN(COS(RADIANS(F$1))*SIN(RADIANS(A9))))</f>
        <v>1.8409526049570053</v>
      </c>
      <c r="C9" s="24" t="str">
        <f>IF(B9&lt;0,"-","+")&amp;TEXT(INT(ABS(B9)),"0")&amp;CHAR(176)&amp;TEXT(60*(ABS(B9)-INT(ABS(B9)))," 00")&amp;"'"</f>
        <v>+1° 50'</v>
      </c>
      <c r="D9" s="29">
        <f>1/((1-(COS(RADIANS(F$1))*SIN(RADIANS(A9)))^2)^-0.5*COS(RADIANS(F$1))*COS(RADIANS(A9)))</f>
        <v>1.086461499799262</v>
      </c>
      <c r="E9" s="41">
        <f>DEGREES(ATAN(TAN(RADIANS(F$1))/COS(RADIANS(A9))))</f>
        <v>23.012560056123515</v>
      </c>
      <c r="F9" s="16" t="str">
        <f>IF(E9&lt;0,"-","+")&amp;TEXT(INT(ABS(E9)),"0")&amp;CHAR(176)&amp;TEXT(60*(ABS(E9)-INT(ABS(E9)))," 00")&amp;"'"</f>
        <v>+23° 01'</v>
      </c>
      <c r="G9" s="29">
        <f>(1+(TAN(RADIANS(F$1))/COS(RADIANS(A9)))^2)^-1*TAN(RADIANS(F$1))*(TAN(RADIANS(A9))/COS(RADIANS(A9)))</f>
        <v>0.012565266171990854</v>
      </c>
      <c r="H9" s="30">
        <f>90-A9</f>
        <v>88</v>
      </c>
      <c r="I9" s="31">
        <f>DEGREES(ASIN(SIN(RADIANS(A9))*SIN(RADIANS(90-E9))/SIN(RADIANS(B9))))</f>
        <v>89.21826870301435</v>
      </c>
      <c r="K9" s="24">
        <v>47</v>
      </c>
      <c r="L9" s="41">
        <f>DEGREES(ASIN(COS(RADIANS(F$1))*SIN(RADIANS(K9))))</f>
        <v>42.31565912095156</v>
      </c>
      <c r="M9" s="16" t="str">
        <f>IF(L9&lt;0,"-","+")&amp;TEXT(INT(ABS(L9)),"0")&amp;CHAR(176)&amp;TEXT(60*(ABS(L9)-INT(ABS(L9)))," 00")&amp;"'"</f>
        <v>+42° 19'</v>
      </c>
      <c r="N9" s="29">
        <f>1/((1-(COS(RADIANS(F$1))*SIN(RADIANS(K9)))^2)^-0.5*COS(RADIANS(F$1))*COS(RADIANS(K9)))</f>
        <v>1.1778709615830931</v>
      </c>
      <c r="O9" s="41">
        <f>DEGREES(ATAN(TAN(RADIANS(F$1))/COS(RADIANS(K9))))</f>
        <v>31.89807589477152</v>
      </c>
      <c r="P9" s="16" t="str">
        <f>IF(O9&lt;0,"-","+")&amp;TEXT(INT(ABS(O9)),"0")&amp;CHAR(176)&amp;TEXT(60*(ABS(O9)-INT(ABS(O9)))," 00")&amp;"'"</f>
        <v>+31° 54'</v>
      </c>
      <c r="Q9" s="29">
        <f>(1+(TAN(RADIANS(F$1))/COS(RADIANS(K9)))^2)^-1*TAN(RADIANS(F$1))*(TAN(RADIANS(K9))/COS(RADIANS(K9)))</f>
        <v>0.4810799995166505</v>
      </c>
      <c r="R9" s="30">
        <f>90-K9</f>
        <v>43</v>
      </c>
      <c r="S9" s="31">
        <f>DEGREES(ASIN(SIN(RADIANS(K9))*SIN(RADIANS(90-O9))/SIN(RADIANS(L9))))</f>
        <v>67.26593405789522</v>
      </c>
    </row>
    <row r="10" spans="1:19" ht="12.75">
      <c r="A10" s="24">
        <v>3</v>
      </c>
      <c r="B10" s="41">
        <f>DEGREES(ASIN(COS(RADIANS(F$1))*SIN(RADIANS(A10))))</f>
        <v>2.761321743957786</v>
      </c>
      <c r="C10" s="24" t="str">
        <f>IF(B10&lt;0,"-","+")&amp;TEXT(INT(ABS(B10)),"0")&amp;CHAR(176)&amp;TEXT(60*(ABS(B10)-INT(ABS(B10)))," 00")&amp;"'"</f>
        <v>+2° 46'</v>
      </c>
      <c r="D10" s="29">
        <f>1/((1-(COS(RADIANS(F$1))*SIN(RADIANS(A10)))^2)^-0.5*COS(RADIANS(F$1))*COS(RADIANS(A10)))</f>
        <v>1.0865881208785075</v>
      </c>
      <c r="E10" s="41">
        <f>DEGREES(ATAN(TAN(RADIANS(F$1))/COS(RADIANS(A10))))</f>
        <v>23.028274786158498</v>
      </c>
      <c r="F10" s="16" t="str">
        <f>IF(E10&lt;0,"-","+")&amp;TEXT(INT(ABS(E10)),"0")&amp;CHAR(176)&amp;TEXT(60*(ABS(E10)-INT(ABS(E10)))," 00")&amp;"'"</f>
        <v>+23° 02'</v>
      </c>
      <c r="G10" s="29">
        <f>(1+(TAN(RADIANS(F$1))/COS(RADIANS(A10)))^2)^-1*TAN(RADIANS(F$1))*(TAN(RADIANS(A10))/COS(RADIANS(A10)))</f>
        <v>0.018867457241841076</v>
      </c>
      <c r="H10" s="30">
        <f>90-A10</f>
        <v>87</v>
      </c>
      <c r="I10" s="31">
        <f>DEGREES(ASIN(SIN(RADIANS(A10))*SIN(RADIANS(90-E10))/SIN(RADIANS(B10))))</f>
        <v>88.82689817769936</v>
      </c>
      <c r="K10" s="24">
        <v>48</v>
      </c>
      <c r="L10" s="41">
        <f>DEGREES(ASIN(COS(RADIANS(F$1))*SIN(RADIANS(K10))))</f>
        <v>43.16238753021127</v>
      </c>
      <c r="M10" s="16" t="str">
        <f>IF(L10&lt;0,"-","+")&amp;TEXT(INT(ABS(L10)),"0")&amp;CHAR(176)&amp;TEXT(60*(ABS(L10)-INT(ABS(L10)))," 00")&amp;"'"</f>
        <v>+43° 10'</v>
      </c>
      <c r="N10" s="29">
        <f>1/((1-(COS(RADIANS(F$1))*SIN(RADIANS(K10)))^2)^-0.5*COS(RADIANS(F$1))*COS(RADIANS(K10)))</f>
        <v>1.184239134032353</v>
      </c>
      <c r="O10" s="41">
        <f>DEGREES(ATAN(TAN(RADIANS(F$1))/COS(RADIANS(K10))))</f>
        <v>32.389720503779536</v>
      </c>
      <c r="P10" s="16" t="str">
        <f>IF(O10&lt;0,"-","+")&amp;TEXT(INT(ABS(O10)),"0")&amp;CHAR(176)&amp;TEXT(60*(ABS(O10)-INT(ABS(O10)))," 00")&amp;"'"</f>
        <v>+32° 23'</v>
      </c>
      <c r="Q10" s="29">
        <f>(1+(TAN(RADIANS(F$1))/COS(RADIANS(K10)))^2)^-1*TAN(RADIANS(F$1))*(TAN(RADIANS(K10))/COS(RADIANS(K10)))</f>
        <v>0.5023712526200887</v>
      </c>
      <c r="R10" s="30">
        <f>90-K10</f>
        <v>42</v>
      </c>
      <c r="S10" s="31">
        <f>DEGREES(ASIN(SIN(RADIANS(K10))*SIN(RADIANS(90-O10))/SIN(RADIANS(L10))))</f>
        <v>66.54152475559918</v>
      </c>
    </row>
    <row r="11" spans="1:19" ht="12.75">
      <c r="A11" s="24">
        <v>4</v>
      </c>
      <c r="B11" s="41">
        <f>DEGREES(ASIN(COS(RADIANS(F$1))*SIN(RADIANS(A11))))</f>
        <v>3.6815620441865513</v>
      </c>
      <c r="C11" s="24" t="str">
        <f>IF(B11&lt;0,"-","+")&amp;TEXT(INT(ABS(B11)),"0")&amp;CHAR(176)&amp;TEXT(60*(ABS(B11)-INT(ABS(B11)))," 00")&amp;"'"</f>
        <v>+3° 41'</v>
      </c>
      <c r="D11" s="29">
        <f>1/((1-(COS(RADIANS(F$1))*SIN(RADIANS(A11)))^2)^-0.5*COS(RADIANS(F$1))*COS(RADIANS(A11)))</f>
        <v>1.0867657985281582</v>
      </c>
      <c r="E11" s="41">
        <f>DEGREES(ATAN(TAN(RADIANS(F$1))/COS(RADIANS(A11))))</f>
        <v>23.050302812893285</v>
      </c>
      <c r="F11" s="16" t="str">
        <f>IF(E11&lt;0,"-","+")&amp;TEXT(INT(ABS(E11)),"0")&amp;CHAR(176)&amp;TEXT(60*(ABS(E11)-INT(ABS(E11)))," 00")&amp;"'"</f>
        <v>+23° 03'</v>
      </c>
      <c r="G11" s="29">
        <f>(1+(TAN(RADIANS(F$1))/COS(RADIANS(A11)))^2)^-1*TAN(RADIANS(F$1))*(TAN(RADIANS(A11))/COS(RADIANS(A11)))</f>
        <v>0.025193177299447075</v>
      </c>
      <c r="H11" s="30">
        <f>90-A11</f>
        <v>86</v>
      </c>
      <c r="I11" s="31">
        <f>DEGREES(ASIN(SIN(RADIANS(A11))*SIN(RADIANS(90-E11))/SIN(RADIANS(B11))))</f>
        <v>88.43492073649082</v>
      </c>
      <c r="K11" s="24">
        <v>49</v>
      </c>
      <c r="L11" s="41">
        <f>DEGREES(ASIN(COS(RADIANS(F$1))*SIN(RADIANS(K11))))</f>
        <v>44.00441766783515</v>
      </c>
      <c r="M11" s="16" t="str">
        <f>IF(L11&lt;0,"-","+")&amp;TEXT(INT(ABS(L11)),"0")&amp;CHAR(176)&amp;TEXT(60*(ABS(L11)-INT(ABS(L11)))," 00")&amp;"'"</f>
        <v>+44° 00'</v>
      </c>
      <c r="N11" s="29">
        <f>1/((1-(COS(RADIANS(F$1))*SIN(RADIANS(K11)))^2)^-0.5*COS(RADIANS(F$1))*COS(RADIANS(K11)))</f>
        <v>1.1910575642024834</v>
      </c>
      <c r="O11" s="41">
        <f>DEGREES(ATAN(TAN(RADIANS(F$1))/COS(RADIANS(K11))))</f>
        <v>32.903151873040265</v>
      </c>
      <c r="P11" s="16" t="str">
        <f>IF(O11&lt;0,"-","+")&amp;TEXT(INT(ABS(O11)),"0")&amp;CHAR(176)&amp;TEXT(60*(ABS(O11)-INT(ABS(O11)))," 00")&amp;"'"</f>
        <v>+32° 54'</v>
      </c>
      <c r="Q11" s="29">
        <f>(1+(TAN(RADIANS(F$1))/COS(RADIANS(K11)))^2)^-1*TAN(RADIANS(F$1))*(TAN(RADIANS(K11))/COS(RADIANS(K11)))</f>
        <v>0.5246630203609752</v>
      </c>
      <c r="R11" s="30">
        <f>90-K11</f>
        <v>41</v>
      </c>
      <c r="S11" s="31">
        <f>DEGREES(ASIN(SIN(RADIANS(K11))*SIN(RADIANS(90-O11))/SIN(RADIANS(L11))))</f>
        <v>65.79680983808572</v>
      </c>
    </row>
    <row r="12" spans="1:19" ht="12.75">
      <c r="A12" s="24">
        <v>5</v>
      </c>
      <c r="B12" s="41">
        <f>DEGREES(ASIN(COS(RADIANS(F$1))*SIN(RADIANS(A12))))</f>
        <v>4.601630154021711</v>
      </c>
      <c r="C12" s="24" t="str">
        <f>IF(B12&lt;0,"-","+")&amp;TEXT(INT(ABS(B12)),"0")&amp;CHAR(176)&amp;TEXT(60*(ABS(B12)-INT(ABS(B12)))," 00")&amp;"'"</f>
        <v>+4° 36'</v>
      </c>
      <c r="D12" s="29">
        <f>1/((1-(COS(RADIANS(F$1))*SIN(RADIANS(A12)))^2)^-0.5*COS(RADIANS(F$1))*COS(RADIANS(A12)))</f>
        <v>1.0869949432430168</v>
      </c>
      <c r="E12" s="41">
        <f>DEGREES(ATAN(TAN(RADIANS(F$1))/COS(RADIANS(A12))))</f>
        <v>23.0786716302293</v>
      </c>
      <c r="F12" s="16" t="str">
        <f>IF(E12&lt;0,"-","+")&amp;TEXT(INT(ABS(E12)),"0")&amp;CHAR(176)&amp;TEXT(60*(ABS(E12)-INT(ABS(E12)))," 00")&amp;"'"</f>
        <v>+23° 05'</v>
      </c>
      <c r="G12" s="29">
        <f>(1+(TAN(RADIANS(F$1))/COS(RADIANS(A12)))^2)^-1*TAN(RADIANS(F$1))*(TAN(RADIANS(A12))/COS(RADIANS(A12)))</f>
        <v>0.03155036862634918</v>
      </c>
      <c r="H12" s="30">
        <f>90-A12</f>
        <v>85</v>
      </c>
      <c r="I12" s="31">
        <f>DEGREES(ASIN(SIN(RADIANS(A12))*SIN(RADIANS(90-E12))/SIN(RADIANS(B12))))</f>
        <v>88.04213229723914</v>
      </c>
      <c r="K12" s="24">
        <v>50</v>
      </c>
      <c r="L12" s="41">
        <f>DEGREES(ASIN(COS(RADIANS(F$1))*SIN(RADIANS(K12))))</f>
        <v>44.84147191406321</v>
      </c>
      <c r="M12" s="16" t="str">
        <f>IF(L12&lt;0,"-","+")&amp;TEXT(INT(ABS(L12)),"0")&amp;CHAR(176)&amp;TEXT(60*(ABS(L12)-INT(ABS(L12)))," 00")&amp;"'"</f>
        <v>+44° 50'</v>
      </c>
      <c r="N12" s="29">
        <f>1/((1-(COS(RADIANS(F$1))*SIN(RADIANS(K12)))^2)^-0.5*COS(RADIANS(F$1))*COS(RADIANS(K12)))</f>
        <v>1.1983666828169295</v>
      </c>
      <c r="O12" s="41">
        <f>DEGREES(ATAN(TAN(RADIANS(F$1))/COS(RADIANS(K12))))</f>
        <v>33.4393994973227</v>
      </c>
      <c r="P12" s="16" t="str">
        <f>IF(O12&lt;0,"-","+")&amp;TEXT(INT(ABS(O12)),"0")&amp;CHAR(176)&amp;TEXT(60*(ABS(O12)-INT(ABS(O12)))," 00")&amp;"'"</f>
        <v>+33° 26'</v>
      </c>
      <c r="Q12" s="29">
        <f>(1+(TAN(RADIANS(F$1))/COS(RADIANS(K12)))^2)^-1*TAN(RADIANS(F$1))*(TAN(RADIANS(K12))/COS(RADIANS(K12)))</f>
        <v>0.5480137427785451</v>
      </c>
      <c r="R12" s="30">
        <f>90-K12</f>
        <v>40</v>
      </c>
      <c r="S12" s="31">
        <f>DEGREES(ASIN(SIN(RADIANS(K12))*SIN(RADIANS(90-O12))/SIN(RADIANS(L12))))</f>
        <v>65.03071268856688</v>
      </c>
    </row>
    <row r="13" spans="1:19" ht="12.75">
      <c r="A13" s="24">
        <v>6</v>
      </c>
      <c r="B13" s="41">
        <f>DEGREES(ASIN(COS(RADIANS(F$1))*SIN(RADIANS(A13))))</f>
        <v>5.52148237231392</v>
      </c>
      <c r="C13" s="24" t="str">
        <f>IF(B13&lt;0,"-","+")&amp;TEXT(INT(ABS(B13)),"0")&amp;CHAR(176)&amp;TEXT(60*(ABS(B13)-INT(ABS(B13)))," 00")&amp;"'"</f>
        <v>+5° 31'</v>
      </c>
      <c r="D13" s="29">
        <f>1/((1-(COS(RADIANS(F$1))*SIN(RADIANS(A13)))^2)^-0.5*COS(RADIANS(F$1))*COS(RADIANS(A13)))</f>
        <v>1.0872760861894781</v>
      </c>
      <c r="E13" s="41">
        <f>DEGREES(ATAN(TAN(RADIANS(F$1))/COS(RADIANS(A13))))</f>
        <v>23.113416715349917</v>
      </c>
      <c r="F13" s="16" t="str">
        <f>IF(E13&lt;0,"-","+")&amp;TEXT(INT(ABS(E13)),"0")&amp;CHAR(176)&amp;TEXT(60*(ABS(E13)-INT(ABS(E13)))," 00")&amp;"'"</f>
        <v>+23° 07'</v>
      </c>
      <c r="G13" s="29">
        <f>(1+(TAN(RADIANS(F$1))/COS(RADIANS(A13)))^2)^-1*TAN(RADIANS(F$1))*(TAN(RADIANS(A13))/COS(RADIANS(A13)))</f>
        <v>0.03794705915498198</v>
      </c>
      <c r="H13" s="30">
        <f>90-A13</f>
        <v>84</v>
      </c>
      <c r="I13" s="31">
        <f>DEGREES(ASIN(SIN(RADIANS(A13))*SIN(RADIANS(90-E13))/SIN(RADIANS(B13))))</f>
        <v>87.64832724674399</v>
      </c>
      <c r="K13" s="24">
        <v>51</v>
      </c>
      <c r="L13" s="41">
        <f>DEGREES(ASIN(COS(RADIANS(F$1))*SIN(RADIANS(K13))))</f>
        <v>45.67325382807577</v>
      </c>
      <c r="M13" s="16" t="str">
        <f>IF(L13&lt;0,"-","+")&amp;TEXT(INT(ABS(L13)),"0")&amp;CHAR(176)&amp;TEXT(60*(ABS(L13)-INT(ABS(L13)))," 00")&amp;"'"</f>
        <v>+45° 40'</v>
      </c>
      <c r="N13" s="29">
        <f>1/((1-(COS(RADIANS(F$1))*SIN(RADIANS(K13)))^2)^-0.5*COS(RADIANS(F$1))*COS(RADIANS(K13)))</f>
        <v>1.206211597622966</v>
      </c>
      <c r="O13" s="41">
        <f>DEGREES(ATAN(TAN(RADIANS(F$1))/COS(RADIANS(K13))))</f>
        <v>33.99955275223514</v>
      </c>
      <c r="P13" s="16" t="str">
        <f>IF(O13&lt;0,"-","+")&amp;TEXT(INT(ABS(O13)),"0")&amp;CHAR(176)&amp;TEXT(60*(ABS(O13)-INT(ABS(O13)))," 00")&amp;"'"</f>
        <v>+33° 60'</v>
      </c>
      <c r="Q13" s="29">
        <f>(1+(TAN(RADIANS(F$1))/COS(RADIANS(K13)))^2)^-1*TAN(RADIANS(F$1))*(TAN(RADIANS(K13))/COS(RADIANS(K13)))</f>
        <v>0.5724847416896326</v>
      </c>
      <c r="R13" s="30">
        <f>90-K13</f>
        <v>39</v>
      </c>
      <c r="S13" s="31">
        <f>DEGREES(ASIN(SIN(RADIANS(K13))*SIN(RADIANS(90-O13))/SIN(RADIANS(L13))))</f>
        <v>64.24209778000083</v>
      </c>
    </row>
    <row r="14" spans="1:19" ht="12.75">
      <c r="A14" s="24">
        <v>7</v>
      </c>
      <c r="B14" s="41">
        <f>DEGREES(ASIN(COS(RADIANS(F$1))*SIN(RADIANS(A14))))</f>
        <v>6.441074558398175</v>
      </c>
      <c r="C14" s="24" t="str">
        <f>IF(B14&lt;0,"-","+")&amp;TEXT(INT(ABS(B14)),"0")&amp;CHAR(176)&amp;TEXT(60*(ABS(B14)-INT(ABS(B14)))," 00")&amp;"'"</f>
        <v>+6° 26'</v>
      </c>
      <c r="D14" s="29">
        <f>1/((1-(COS(RADIANS(F$1))*SIN(RADIANS(A14)))^2)^-0.5*COS(RADIANS(F$1))*COS(RADIANS(A14)))</f>
        <v>1.087609881783982</v>
      </c>
      <c r="E14" s="41">
        <f>DEGREES(ATAN(TAN(RADIANS(F$1))/COS(RADIANS(A14))))</f>
        <v>23.154581625387753</v>
      </c>
      <c r="F14" s="16" t="str">
        <f>IF(E14&lt;0,"-","+")&amp;TEXT(INT(ABS(E14)),"0")&amp;CHAR(176)&amp;TEXT(60*(ABS(E14)-INT(ABS(E14)))," 00")&amp;"'"</f>
        <v>+23° 09'</v>
      </c>
      <c r="G14" s="29">
        <f>(1+(TAN(RADIANS(F$1))/COS(RADIANS(A14)))^2)^-1*TAN(RADIANS(F$1))*(TAN(RADIANS(A14))/COS(RADIANS(A14)))</f>
        <v>0.04439138457084163</v>
      </c>
      <c r="H14" s="30">
        <f>90-A14</f>
        <v>83</v>
      </c>
      <c r="I14" s="31">
        <f>DEGREES(ASIN(SIN(RADIANS(A14))*SIN(RADIANS(90-E14))/SIN(RADIANS(B14))))</f>
        <v>87.25329804789978</v>
      </c>
      <c r="K14" s="24">
        <v>52</v>
      </c>
      <c r="L14" s="41">
        <f>DEGREES(ASIN(COS(RADIANS(F$1))*SIN(RADIANS(K14))))</f>
        <v>46.49944667213184</v>
      </c>
      <c r="M14" s="16" t="str">
        <f>IF(L14&lt;0,"-","+")&amp;TEXT(INT(ABS(L14)),"0")&amp;CHAR(176)&amp;TEXT(60*(ABS(L14)-INT(ABS(L14)))," 00")&amp;"'"</f>
        <v>+46° 30'</v>
      </c>
      <c r="N14" s="29">
        <f>1/((1-(COS(RADIANS(F$1))*SIN(RADIANS(K14)))^2)^-0.5*COS(RADIANS(F$1))*COS(RADIANS(K14)))</f>
        <v>1.2146427489364846</v>
      </c>
      <c r="O14" s="41">
        <f>DEGREES(ATAN(TAN(RADIANS(F$1))/COS(RADIANS(K14))))</f>
        <v>34.584763769538064</v>
      </c>
      <c r="P14" s="16" t="str">
        <f>IF(O14&lt;0,"-","+")&amp;TEXT(INT(ABS(O14)),"0")&amp;CHAR(176)&amp;TEXT(60*(ABS(O14)-INT(ABS(O14)))," 00")&amp;"'"</f>
        <v>+34° 35'</v>
      </c>
      <c r="Q14" s="29">
        <f>(1+(TAN(RADIANS(F$1))/COS(RADIANS(K14)))^2)^-1*TAN(RADIANS(F$1))*(TAN(RADIANS(K14))/COS(RADIANS(K14)))</f>
        <v>0.5981402003961889</v>
      </c>
      <c r="R14" s="30">
        <f>90-K14</f>
        <v>38</v>
      </c>
      <c r="S14" s="31">
        <f>DEGREES(ASIN(SIN(RADIANS(K14))*SIN(RADIANS(90-O14))/SIN(RADIANS(L14))))</f>
        <v>63.42976776102523</v>
      </c>
    </row>
    <row r="15" spans="1:19" ht="12.75">
      <c r="A15" s="24">
        <v>8</v>
      </c>
      <c r="B15" s="41">
        <f>DEGREES(ASIN(COS(RADIANS(F$1))*SIN(RADIANS(A15))))</f>
        <v>7.360362040345</v>
      </c>
      <c r="C15" s="24" t="str">
        <f>IF(B15&lt;0,"-","+")&amp;TEXT(INT(ABS(B15)),"0")&amp;CHAR(176)&amp;TEXT(60*(ABS(B15)-INT(ABS(B15)))," 00")&amp;"'"</f>
        <v>+7° 22'</v>
      </c>
      <c r="D15" s="29">
        <f>1/((1-(COS(RADIANS(F$1))*SIN(RADIANS(A15)))^2)^-0.5*COS(RADIANS(F$1))*COS(RADIANS(A15)))</f>
        <v>1.0879971108871853</v>
      </c>
      <c r="E15" s="41">
        <f>DEGREES(ATAN(TAN(RADIANS(F$1))/COS(RADIANS(A15))))</f>
        <v>23.202218116418376</v>
      </c>
      <c r="F15" s="16" t="str">
        <f>IF(E15&lt;0,"-","+")&amp;TEXT(INT(ABS(E15)),"0")&amp;CHAR(176)&amp;TEXT(60*(ABS(E15)-INT(ABS(E15)))," 00")&amp;"'"</f>
        <v>+23° 12'</v>
      </c>
      <c r="G15" s="29">
        <f>(1+(TAN(RADIANS(F$1))/COS(RADIANS(A15)))^2)^-1*TAN(RADIANS(F$1))*(TAN(RADIANS(A15))/COS(RADIANS(A15)))</f>
        <v>0.05089161087938551</v>
      </c>
      <c r="H15" s="30">
        <f>90-A15</f>
        <v>82</v>
      </c>
      <c r="I15" s="31">
        <f>DEGREES(ASIN(SIN(RADIANS(A15))*SIN(RADIANS(90-E15))/SIN(RADIANS(B15))))</f>
        <v>86.8568348400445</v>
      </c>
      <c r="K15" s="24">
        <v>53</v>
      </c>
      <c r="L15" s="41">
        <f>DEGREES(ASIN(COS(RADIANS(F$1))*SIN(RADIANS(K15))))</f>
        <v>47.3197118230546</v>
      </c>
      <c r="M15" s="16" t="str">
        <f>IF(L15&lt;0,"-","+")&amp;TEXT(INT(ABS(L15)),"0")&amp;CHAR(176)&amp;TEXT(60*(ABS(L15)-INT(ABS(L15)))," 00")&amp;"'"</f>
        <v>+47° 19'</v>
      </c>
      <c r="N15" s="29">
        <f>1/((1-(COS(RADIANS(F$1))*SIN(RADIANS(K15)))^2)^-0.5*COS(RADIANS(F$1))*COS(RADIANS(K15)))</f>
        <v>1.2237166747574773</v>
      </c>
      <c r="O15" s="41">
        <f>DEGREES(ATAN(TAN(RADIANS(F$1))/COS(RADIANS(K15))))</f>
        <v>35.19625026813528</v>
      </c>
      <c r="P15" s="16" t="str">
        <f>IF(O15&lt;0,"-","+")&amp;TEXT(INT(ABS(O15)),"0")&amp;CHAR(176)&amp;TEXT(60*(ABS(O15)-INT(ABS(O15)))," 00")&amp;"'"</f>
        <v>+35° 12'</v>
      </c>
      <c r="Q15" s="29">
        <f>(1+(TAN(RADIANS(F$1))/COS(RADIANS(K15)))^2)^-1*TAN(RADIANS(F$1))*(TAN(RADIANS(K15))/COS(RADIANS(K15)))</f>
        <v>0.6250470933180221</v>
      </c>
      <c r="R15" s="30">
        <f>90-K15</f>
        <v>37</v>
      </c>
      <c r="S15" s="31">
        <f>DEGREES(ASIN(SIN(RADIANS(K15))*SIN(RADIANS(90-O15))/SIN(RADIANS(L15))))</f>
        <v>62.592460587559955</v>
      </c>
    </row>
    <row r="16" spans="1:19" ht="12.75">
      <c r="A16" s="24">
        <v>9</v>
      </c>
      <c r="B16" s="41">
        <f>DEGREES(ASIN(COS(RADIANS(F$1))*SIN(RADIANS(A16))))</f>
        <v>8.279299521074623</v>
      </c>
      <c r="C16" s="24" t="str">
        <f>IF(B16&lt;0,"-","+")&amp;TEXT(INT(ABS(B16)),"0")&amp;CHAR(176)&amp;TEXT(60*(ABS(B16)-INT(ABS(B16)))," 00")&amp;"'"</f>
        <v>+8° 17'</v>
      </c>
      <c r="D16" s="29">
        <f>1/((1-(COS(RADIANS(F$1))*SIN(RADIANS(A16)))^2)^-0.5*COS(RADIANS(F$1))*COS(RADIANS(A16)))</f>
        <v>1.088438684640296</v>
      </c>
      <c r="E16" s="41">
        <f>DEGREES(ATAN(TAN(RADIANS(F$1))/COS(RADIANS(A16))))</f>
        <v>23.2563862852941</v>
      </c>
      <c r="F16" s="16" t="str">
        <f>IF(E16&lt;0,"-","+")&amp;TEXT(INT(ABS(E16)),"0")&amp;CHAR(176)&amp;TEXT(60*(ABS(E16)-INT(ABS(E16)))," 00")&amp;"'"</f>
        <v>+23° 15'</v>
      </c>
      <c r="G16" s="29">
        <f>(1+(TAN(RADIANS(F$1))/COS(RADIANS(A16)))^2)^-1*TAN(RADIANS(F$1))*(TAN(RADIANS(A16))/COS(RADIANS(A16)))</f>
        <v>0.05745615753572017</v>
      </c>
      <c r="H16" s="30">
        <f>90-A16</f>
        <v>81</v>
      </c>
      <c r="I16" s="31">
        <f>DEGREES(ASIN(SIN(RADIANS(A16))*SIN(RADIANS(90-E16))/SIN(RADIANS(B16))))</f>
        <v>86.45872503107464</v>
      </c>
      <c r="K16" s="24">
        <v>54</v>
      </c>
      <c r="L16" s="41">
        <f>DEGREES(ASIN(COS(RADIANS(F$1))*SIN(RADIANS(K16))))</f>
        <v>48.133687065314476</v>
      </c>
      <c r="M16" s="16" t="str">
        <f>IF(L16&lt;0,"-","+")&amp;TEXT(INT(ABS(L16)),"0")&amp;CHAR(176)&amp;TEXT(60*(ABS(L16)-INT(ABS(L16)))," 00")&amp;"'"</f>
        <v>+48° 08'</v>
      </c>
      <c r="N16" s="29">
        <f>1/((1-(COS(RADIANS(F$1))*SIN(RADIANS(K16)))^2)^-0.5*COS(RADIANS(F$1))*COS(RADIANS(K16)))</f>
        <v>1.2334969069287542</v>
      </c>
      <c r="O16" s="41">
        <f>DEGREES(ATAN(TAN(RADIANS(F$1))/COS(RADIANS(K16))))</f>
        <v>35.8352982842205</v>
      </c>
      <c r="P16" s="16" t="str">
        <f>IF(O16&lt;0,"-","+")&amp;TEXT(INT(ABS(O16)),"0")&amp;CHAR(176)&amp;TEXT(60*(ABS(O16)-INT(ABS(O16)))," 00")&amp;"'"</f>
        <v>+35° 50'</v>
      </c>
      <c r="Q16" s="29">
        <f>(1+(TAN(RADIANS(F$1))/COS(RADIANS(K16)))^2)^-1*TAN(RADIANS(F$1))*(TAN(RADIANS(K16))/COS(RADIANS(K16)))</f>
        <v>0.6532750522427322</v>
      </c>
      <c r="R16" s="30">
        <f>90-K16</f>
        <v>36</v>
      </c>
      <c r="S16" s="31">
        <f>DEGREES(ASIN(SIN(RADIANS(K16))*SIN(RADIANS(90-O16))/SIN(RADIANS(L16))))</f>
        <v>61.72884675653421</v>
      </c>
    </row>
    <row r="17" spans="1:19" ht="12.75">
      <c r="A17" s="24">
        <v>10</v>
      </c>
      <c r="B17" s="41">
        <f>DEGREES(ASIN(COS(RADIANS(F$1))*SIN(RADIANS(A17))))</f>
        <v>9.197840981944795</v>
      </c>
      <c r="C17" s="24" t="str">
        <f>IF(B17&lt;0,"-","+")&amp;TEXT(INT(ABS(B17)),"0")&amp;CHAR(176)&amp;TEXT(60*(ABS(B17)-INT(ABS(B17)))," 00")&amp;"'"</f>
        <v>+9° 12'</v>
      </c>
      <c r="D17" s="29">
        <f>1/((1-(COS(RADIANS(F$1))*SIN(RADIANS(A17)))^2)^-0.5*COS(RADIANS(F$1))*COS(RADIANS(A17)))</f>
        <v>1.088935648975614</v>
      </c>
      <c r="E17" s="41">
        <f>DEGREES(ATAN(TAN(RADIANS(F$1))/COS(RADIANS(A17))))</f>
        <v>23.317154734930664</v>
      </c>
      <c r="F17" s="16" t="str">
        <f>IF(E17&lt;0,"-","+")&amp;TEXT(INT(ABS(E17)),"0")&amp;CHAR(176)&amp;TEXT(60*(ABS(E17)-INT(ABS(E17)))," 00")&amp;"'"</f>
        <v>+23° 19'</v>
      </c>
      <c r="G17" s="29">
        <f>(1+(TAN(RADIANS(F$1))/COS(RADIANS(A17)))^2)^-1*TAN(RADIANS(F$1))*(TAN(RADIANS(A17))/COS(RADIANS(A17)))</f>
        <v>0.0640936212379277</v>
      </c>
      <c r="H17" s="30">
        <f>90-A17</f>
        <v>80</v>
      </c>
      <c r="I17" s="31">
        <f>DEGREES(ASIN(SIN(RADIANS(A17))*SIN(RADIANS(90-E17))/SIN(RADIANS(B17))))</f>
        <v>86.0587528798563</v>
      </c>
      <c r="K17" s="24">
        <v>55</v>
      </c>
      <c r="L17" s="41">
        <f>DEGREES(ASIN(COS(RADIANS(F$1))*SIN(RADIANS(K17))))</f>
        <v>48.9409847606347</v>
      </c>
      <c r="M17" s="16" t="str">
        <f>IF(L17&lt;0,"-","+")&amp;TEXT(INT(ABS(L17)),"0")&amp;CHAR(176)&amp;TEXT(60*(ABS(L17)-INT(ABS(L17)))," 00")&amp;"'"</f>
        <v>+48° 56'</v>
      </c>
      <c r="N17" s="29">
        <f>1/((1-(COS(RADIANS(F$1))*SIN(RADIANS(K17)))^2)^-0.5*COS(RADIANS(F$1))*COS(RADIANS(K17)))</f>
        <v>1.2440550246983646</v>
      </c>
      <c r="O17" s="41">
        <f>DEGREES(ATAN(TAN(RADIANS(F$1))/COS(RADIANS(K17))))</f>
        <v>36.503264729447885</v>
      </c>
      <c r="P17" s="16" t="str">
        <f>IF(O17&lt;0,"-","+")&amp;TEXT(INT(ABS(O17)),"0")&amp;CHAR(176)&amp;TEXT(60*(ABS(O17)-INT(ABS(O17)))," 00")&amp;"'"</f>
        <v>+36° 30'</v>
      </c>
      <c r="Q17" s="29">
        <f>(1+(TAN(RADIANS(F$1))/COS(RADIANS(K17)))^2)^-1*TAN(RADIANS(F$1))*(TAN(RADIANS(K17))/COS(RADIANS(K17)))</f>
        <v>0.6828961532179576</v>
      </c>
      <c r="R17" s="30">
        <f>90-K17</f>
        <v>35</v>
      </c>
      <c r="S17" s="31">
        <f>DEGREES(ASIN(SIN(RADIANS(K17))*SIN(RADIANS(90-O17))/SIN(RADIANS(L17))))</f>
        <v>60.83752671280833</v>
      </c>
    </row>
    <row r="18" spans="1:19" ht="12.75">
      <c r="A18" s="24">
        <v>11</v>
      </c>
      <c r="B18" s="41">
        <f>DEGREES(ASIN(COS(RADIANS(F$1))*SIN(RADIANS(A18))))</f>
        <v>10.115939583406954</v>
      </c>
      <c r="C18" s="24" t="str">
        <f>IF(B18&lt;0,"-","+")&amp;TEXT(INT(ABS(B18)),"0")&amp;CHAR(176)&amp;TEXT(60*(ABS(B18)-INT(ABS(B18)))," 00")&amp;"'"</f>
        <v>+10° 07'</v>
      </c>
      <c r="D18" s="29">
        <f>1/((1-(COS(RADIANS(F$1))*SIN(RADIANS(A18)))^2)^-0.5*COS(RADIANS(F$1))*COS(RADIANS(A18)))</f>
        <v>1.0894891898392767</v>
      </c>
      <c r="E18" s="41">
        <f>DEGREES(ATAN(TAN(RADIANS(F$1))/COS(RADIANS(A18))))</f>
        <v>23.384600763762368</v>
      </c>
      <c r="F18" s="16" t="str">
        <f>IF(E18&lt;0,"-","+")&amp;TEXT(INT(ABS(E18)),"0")&amp;CHAR(176)&amp;TEXT(60*(ABS(E18)-INT(ABS(E18)))," 00")&amp;"'"</f>
        <v>+23° 23'</v>
      </c>
      <c r="G18" s="29">
        <f>(1+(TAN(RADIANS(F$1))/COS(RADIANS(A18)))^2)^-1*TAN(RADIANS(F$1))*(TAN(RADIANS(A18))/COS(RADIANS(A18)))</f>
        <v>0.07081280048814366</v>
      </c>
      <c r="H18" s="30">
        <f>90-A18</f>
        <v>79</v>
      </c>
      <c r="I18" s="31">
        <f>DEGREES(ASIN(SIN(RADIANS(A18))*SIN(RADIANS(90-E18))/SIN(RADIANS(B18))))</f>
        <v>85.65669906741134</v>
      </c>
      <c r="K18" s="24">
        <v>56</v>
      </c>
      <c r="L18" s="41">
        <f>DEGREES(ASIN(COS(RADIANS(F$1))*SIN(RADIANS(K18))))</f>
        <v>49.74118989007859</v>
      </c>
      <c r="M18" s="16" t="str">
        <f>IF(L18&lt;0,"-","+")&amp;TEXT(INT(ABS(L18)),"0")&amp;CHAR(176)&amp;TEXT(60*(ABS(L18)-INT(ABS(L18)))," 00")&amp;"'"</f>
        <v>+49° 44'</v>
      </c>
      <c r="N18" s="29">
        <f>1/((1-(COS(RADIANS(F$1))*SIN(RADIANS(K18)))^2)^-0.5*COS(RADIANS(F$1))*COS(RADIANS(K18)))</f>
        <v>1.2554718982168198</v>
      </c>
      <c r="O18" s="41">
        <f>DEGREES(ATAN(TAN(RADIANS(F$1))/COS(RADIANS(K18))))</f>
        <v>37.20157968851838</v>
      </c>
      <c r="P18" s="16" t="str">
        <f>IF(O18&lt;0,"-","+")&amp;TEXT(INT(ABS(O18)),"0")&amp;CHAR(176)&amp;TEXT(60*(ABS(O18)-INT(ABS(O18)))," 00")&amp;"'"</f>
        <v>+37° 12'</v>
      </c>
      <c r="Q18" s="29">
        <f>(1+(TAN(RADIANS(F$1))/COS(RADIANS(K18)))^2)^-1*TAN(RADIANS(F$1))*(TAN(RADIANS(K18))/COS(RADIANS(K18)))</f>
        <v>0.7139846050373574</v>
      </c>
      <c r="R18" s="30">
        <f>90-K18</f>
        <v>34</v>
      </c>
      <c r="S18" s="31">
        <f>DEGREES(ASIN(SIN(RADIANS(K18))*SIN(RADIANS(90-O18))/SIN(RADIANS(L18))))</f>
        <v>59.91702851783741</v>
      </c>
    </row>
    <row r="19" spans="1:19" ht="12.75">
      <c r="A19" s="24">
        <v>12</v>
      </c>
      <c r="B19" s="41">
        <f>DEGREES(ASIN(COS(RADIANS(F$1))*SIN(RADIANS(A19))))</f>
        <v>11.033547562307065</v>
      </c>
      <c r="C19" s="24" t="str">
        <f>IF(B19&lt;0,"-","+")&amp;TEXT(INT(ABS(B19)),"0")&amp;CHAR(176)&amp;TEXT(60*(ABS(B19)-INT(ABS(B19)))," 00")&amp;"'"</f>
        <v>+11° 02'</v>
      </c>
      <c r="D19" s="29">
        <f>1/((1-(COS(RADIANS(F$1))*SIN(RADIANS(A19)))^2)^-0.5*COS(RADIANS(F$1))*COS(RADIANS(A19)))</f>
        <v>1.0901006391706975</v>
      </c>
      <c r="E19" s="41">
        <f>DEGREES(ATAN(TAN(RADIANS(F$1))/COS(RADIANS(A19))))</f>
        <v>23.458810580186867</v>
      </c>
      <c r="F19" s="16" t="str">
        <f>IF(E19&lt;0,"-","+")&amp;TEXT(INT(ABS(E19)),"0")&amp;CHAR(176)&amp;TEXT(60*(ABS(E19)-INT(ABS(E19)))," 00")&amp;"'"</f>
        <v>+23° 28'</v>
      </c>
      <c r="G19" s="29">
        <f>(1+(TAN(RADIANS(F$1))/COS(RADIANS(A19)))^2)^-1*TAN(RADIANS(F$1))*(TAN(RADIANS(A19))/COS(RADIANS(A19)))</f>
        <v>0.07762272102922957</v>
      </c>
      <c r="H19" s="30">
        <f>90-A19</f>
        <v>78</v>
      </c>
      <c r="I19" s="31">
        <f>DEGREES(ASIN(SIN(RADIANS(A19))*SIN(RADIANS(90-E19))/SIN(RADIANS(B19))))</f>
        <v>85.25234025530499</v>
      </c>
      <c r="K19" s="24">
        <v>57</v>
      </c>
      <c r="L19" s="41">
        <f>DEGREES(ASIN(COS(RADIANS(F$1))*SIN(RADIANS(K19))))</f>
        <v>50.53385796606709</v>
      </c>
      <c r="M19" s="16" t="str">
        <f>IF(L19&lt;0,"-","+")&amp;TEXT(INT(ABS(L19)),"0")&amp;CHAR(176)&amp;TEXT(60*(ABS(L19)-INT(ABS(L19)))," 00")&amp;"'"</f>
        <v>+50° 32'</v>
      </c>
      <c r="N19" s="29">
        <f>1/((1-(COS(RADIANS(F$1))*SIN(RADIANS(K19)))^2)^-0.5*COS(RADIANS(F$1))*COS(RADIANS(K19)))</f>
        <v>1.2678391623391687</v>
      </c>
      <c r="O19" s="41">
        <f>DEGREES(ATAN(TAN(RADIANS(F$1))/COS(RADIANS(K19))))</f>
        <v>37.931748346810714</v>
      </c>
      <c r="P19" s="16" t="str">
        <f>IF(O19&lt;0,"-","+")&amp;TEXT(INT(ABS(O19)),"0")&amp;CHAR(176)&amp;TEXT(60*(ABS(O19)-INT(ABS(O19)))," 00")&amp;"'"</f>
        <v>+37° 56'</v>
      </c>
      <c r="Q19" s="29">
        <f>(1+(TAN(RADIANS(F$1))/COS(RADIANS(K19)))^2)^-1*TAN(RADIANS(F$1))*(TAN(RADIANS(K19))/COS(RADIANS(K19)))</f>
        <v>0.7466163167714311</v>
      </c>
      <c r="R19" s="30">
        <f>90-K19</f>
        <v>33</v>
      </c>
      <c r="S19" s="31">
        <f>DEGREES(ASIN(SIN(RADIANS(K19))*SIN(RADIANS(90-O19))/SIN(RADIANS(L19))))</f>
        <v>58.96580588939181</v>
      </c>
    </row>
    <row r="20" spans="1:19" ht="12.75">
      <c r="A20" s="24">
        <v>13</v>
      </c>
      <c r="B20" s="41">
        <f>DEGREES(ASIN(COS(RADIANS(F$1))*SIN(RADIANS(A20))))</f>
        <v>11.950616125386178</v>
      </c>
      <c r="C20" s="24" t="str">
        <f>IF(B20&lt;0,"-","+")&amp;TEXT(INT(ABS(B20)),"0")&amp;CHAR(176)&amp;TEXT(60*(ABS(B20)-INT(ABS(B20)))," 00")&amp;"'"</f>
        <v>+11° 57'</v>
      </c>
      <c r="D20" s="29">
        <f>1/((1-(COS(RADIANS(F$1))*SIN(RADIANS(A20)))^2)^-0.5*COS(RADIANS(F$1))*COS(RADIANS(A20)))</f>
        <v>1.0907714816902134</v>
      </c>
      <c r="E20" s="41">
        <f>DEGREES(ATAN(TAN(RADIANS(F$1))/COS(RADIANS(A20))))</f>
        <v>23.53987954293099</v>
      </c>
      <c r="F20" s="16" t="str">
        <f>IF(E20&lt;0,"-","+")&amp;TEXT(INT(ABS(E20)),"0")&amp;CHAR(176)&amp;TEXT(60*(ABS(E20)-INT(ABS(E20)))," 00")&amp;"'"</f>
        <v>+23° 32'</v>
      </c>
      <c r="G20" s="29">
        <f>(1+(TAN(RADIANS(F$1))/COS(RADIANS(A20)))^2)^-1*TAN(RADIANS(F$1))*(TAN(RADIANS(A20))/COS(RADIANS(A20)))</f>
        <v>0.0845326622690773</v>
      </c>
      <c r="H20" s="30">
        <f>90-A20</f>
        <v>77</v>
      </c>
      <c r="I20" s="31">
        <f>DEGREES(ASIN(SIN(RADIANS(A20))*SIN(RADIANS(90-E20))/SIN(RADIANS(B20))))</f>
        <v>84.84544862959831</v>
      </c>
      <c r="K20" s="24">
        <v>58</v>
      </c>
      <c r="L20" s="41">
        <f>DEGREES(ASIN(COS(RADIANS(F$1))*SIN(RADIANS(K20))))</f>
        <v>51.3185128138406</v>
      </c>
      <c r="M20" s="16" t="str">
        <f>IF(L20&lt;0,"-","+")&amp;TEXT(INT(ABS(L20)),"0")&amp;CHAR(176)&amp;TEXT(60*(ABS(L20)-INT(ABS(L20)))," 00")&amp;"'"</f>
        <v>+51° 19'</v>
      </c>
      <c r="N20" s="29">
        <f>1/((1-(COS(RADIANS(F$1))*SIN(RADIANS(K20)))^2)^-0.5*COS(RADIANS(F$1))*COS(RADIANS(K20)))</f>
        <v>1.2812609711266614</v>
      </c>
      <c r="O20" s="41">
        <f>DEGREES(ATAN(TAN(RADIANS(F$1))/COS(RADIANS(K20))))</f>
        <v>38.69535241420846</v>
      </c>
      <c r="P20" s="16" t="str">
        <f>IF(O20&lt;0,"-","+")&amp;TEXT(INT(ABS(O20)),"0")&amp;CHAR(176)&amp;TEXT(60*(ABS(O20)-INT(ABS(O20)))," 00")&amp;"'"</f>
        <v>+38° 42'</v>
      </c>
      <c r="Q20" s="29">
        <f>(1+(TAN(RADIANS(F$1))/COS(RADIANS(K20)))^2)^-1*TAN(RADIANS(F$1))*(TAN(RADIANS(K20))/COS(RADIANS(K20)))</f>
        <v>0.7808683178669277</v>
      </c>
      <c r="R20" s="30">
        <f>90-K20</f>
        <v>32</v>
      </c>
      <c r="S20" s="31">
        <f>DEGREES(ASIN(SIN(RADIANS(K20))*SIN(RADIANS(90-O20))/SIN(RADIANS(L20))))</f>
        <v>57.98223674612787</v>
      </c>
    </row>
    <row r="21" spans="1:19" ht="12.75">
      <c r="A21" s="24">
        <v>14</v>
      </c>
      <c r="B21" s="41">
        <f>DEGREES(ASIN(COS(RADIANS(F$1))*SIN(RADIANS(A21))))</f>
        <v>12.867095338511552</v>
      </c>
      <c r="C21" s="24" t="str">
        <f>IF(B21&lt;0,"-","+")&amp;TEXT(INT(ABS(B21)),"0")&amp;CHAR(176)&amp;TEXT(60*(ABS(B21)-INT(ABS(B21)))," 00")&amp;"'"</f>
        <v>+12° 52'</v>
      </c>
      <c r="D21" s="29">
        <f>1/((1-(COS(RADIANS(F$1))*SIN(RADIANS(A21)))^2)^-0.5*COS(RADIANS(F$1))*COS(RADIANS(A21)))</f>
        <v>1.091503362554189</v>
      </c>
      <c r="E21" s="41">
        <f>DEGREES(ATAN(TAN(RADIANS(F$1))/COS(RADIANS(A21))))</f>
        <v>23.62791242838304</v>
      </c>
      <c r="F21" s="16" t="str">
        <f>IF(E21&lt;0,"-","+")&amp;TEXT(INT(ABS(E21)),"0")&amp;CHAR(176)&amp;TEXT(60*(ABS(E21)-INT(ABS(E21)))," 00")&amp;"'"</f>
        <v>+23° 38'</v>
      </c>
      <c r="G21" s="29">
        <f>(1+(TAN(RADIANS(F$1))/COS(RADIANS(A21)))^2)^-1*TAN(RADIANS(F$1))*(TAN(RADIANS(A21))/COS(RADIANS(A21)))</f>
        <v>0.09155218480923277</v>
      </c>
      <c r="H21" s="30">
        <f>90-A21</f>
        <v>76</v>
      </c>
      <c r="I21" s="31">
        <f>DEGREES(ASIN(SIN(RADIANS(A21))*SIN(RADIANS(90-E21))/SIN(RADIANS(B21))))</f>
        <v>84.43579142865862</v>
      </c>
      <c r="K21" s="24">
        <v>59</v>
      </c>
      <c r="L21" s="41">
        <f>DEGREES(ASIN(COS(RADIANS(F$1))*SIN(RADIANS(K21))))</f>
        <v>52.09464422465957</v>
      </c>
      <c r="M21" s="16" t="str">
        <f>IF(L21&lt;0,"-","+")&amp;TEXT(INT(ABS(L21)),"0")&amp;CHAR(176)&amp;TEXT(60*(ABS(L21)-INT(ABS(L21)))," 00")&amp;"'"</f>
        <v>+52° 06'</v>
      </c>
      <c r="N21" s="29">
        <f>1/((1-(COS(RADIANS(F$1))*SIN(RADIANS(K21)))^2)^-0.5*COS(RADIANS(F$1))*COS(RADIANS(K21)))</f>
        <v>1.2958560963534296</v>
      </c>
      <c r="O21" s="41">
        <f>DEGREES(ATAN(TAN(RADIANS(F$1))/COS(RADIANS(K21))))</f>
        <v>39.4940508826666</v>
      </c>
      <c r="P21" s="16" t="str">
        <f>IF(O21&lt;0,"-","+")&amp;TEXT(INT(ABS(O21)),"0")&amp;CHAR(176)&amp;TEXT(60*(ABS(O21)-INT(ABS(O21)))," 00")&amp;"'"</f>
        <v>+39° 30'</v>
      </c>
      <c r="Q21" s="29">
        <f>(1+(TAN(RADIANS(F$1))/COS(RADIANS(K21)))^2)^-1*TAN(RADIANS(F$1))*(TAN(RADIANS(K21))/COS(RADIANS(K21)))</f>
        <v>0.8168180000144224</v>
      </c>
      <c r="R21" s="30">
        <f>90-K21</f>
        <v>31</v>
      </c>
      <c r="S21" s="31">
        <f>DEGREES(ASIN(SIN(RADIANS(K21))*SIN(RADIANS(90-O21))/SIN(RADIANS(L21))))</f>
        <v>56.96462241941392</v>
      </c>
    </row>
    <row r="22" spans="1:19" ht="12.75">
      <c r="A22" s="24">
        <v>15</v>
      </c>
      <c r="B22" s="41">
        <f>DEGREES(ASIN(COS(RADIANS(F$1))*SIN(RADIANS(A22))))</f>
        <v>13.782934011141906</v>
      </c>
      <c r="C22" s="24" t="str">
        <f>IF(B22&lt;0,"-","+")&amp;TEXT(INT(ABS(B22)),"0")&amp;CHAR(176)&amp;TEXT(60*(ABS(B22)-INT(ABS(B22)))," 00")&amp;"'"</f>
        <v>+13° 47'</v>
      </c>
      <c r="D22" s="29">
        <f>1/((1-(COS(RADIANS(F$1))*SIN(RADIANS(A22)))^2)^-0.5*COS(RADIANS(F$1))*COS(RADIANS(A22)))</f>
        <v>1.09229809594533</v>
      </c>
      <c r="E22" s="41">
        <f>DEGREES(ATAN(TAN(RADIANS(F$1))/COS(RADIANS(A22))))</f>
        <v>23.72302372605643</v>
      </c>
      <c r="F22" s="16" t="str">
        <f>IF(E22&lt;0,"-","+")&amp;TEXT(INT(ABS(E22)),"0")&amp;CHAR(176)&amp;TEXT(60*(ABS(E22)-INT(ABS(E22)))," 00")&amp;"'"</f>
        <v>+23° 43'</v>
      </c>
      <c r="G22" s="29">
        <f>(1+(TAN(RADIANS(F$1))/COS(RADIANS(A22)))^2)^-1*TAN(RADIANS(F$1))*(TAN(RADIANS(A22))/COS(RADIANS(A22)))</f>
        <v>0.09869115919962121</v>
      </c>
      <c r="H22" s="30">
        <f>90-A22</f>
        <v>75</v>
      </c>
      <c r="I22" s="31">
        <f>DEGREES(ASIN(SIN(RADIANS(A22))*SIN(RADIANS(90-E22))/SIN(RADIANS(B22))))</f>
        <v>84.02313045304328</v>
      </c>
      <c r="K22" s="24">
        <v>60</v>
      </c>
      <c r="L22" s="41">
        <f>DEGREES(ASIN(COS(RADIANS(F$1))*SIN(RADIANS(K22))))</f>
        <v>52.86170548670288</v>
      </c>
      <c r="M22" s="16" t="str">
        <f>IF(L22&lt;0,"-","+")&amp;TEXT(INT(ABS(L22)),"0")&amp;CHAR(176)&amp;TEXT(60*(ABS(L22)-INT(ABS(L22)))," 00")&amp;"'"</f>
        <v>+52° 52'</v>
      </c>
      <c r="N22" s="29">
        <f>1/((1-(COS(RADIANS(F$1))*SIN(RADIANS(K22)))^2)^-0.5*COS(RADIANS(F$1))*COS(RADIANS(K22)))</f>
        <v>1.3117604500764268</v>
      </c>
      <c r="O22" s="41">
        <f>DEGREES(ATAN(TAN(RADIANS(F$1))/COS(RADIANS(K22))))</f>
        <v>40.329579921960864</v>
      </c>
      <c r="P22" s="16" t="str">
        <f>IF(O22&lt;0,"-","+")&amp;TEXT(INT(ABS(O22)),"0")&amp;CHAR(176)&amp;TEXT(60*(ABS(O22)-INT(ABS(O22)))," 00")&amp;"'"</f>
        <v>+40° 20'</v>
      </c>
      <c r="Q22" s="29">
        <f>(1+(TAN(RADIANS(F$1))/COS(RADIANS(K22)))^2)^-1*TAN(RADIANS(F$1))*(TAN(RADIANS(K22))/COS(RADIANS(K22)))</f>
        <v>0.854542145339057</v>
      </c>
      <c r="R22" s="30">
        <f>90-K22</f>
        <v>30</v>
      </c>
      <c r="S22" s="31">
        <f>DEGREES(ASIN(SIN(RADIANS(K22))*SIN(RADIANS(90-O22))/SIN(RADIANS(L22))))</f>
        <v>55.91118772791874</v>
      </c>
    </row>
    <row r="23" spans="1:19" ht="12.75">
      <c r="A23" s="24">
        <v>16</v>
      </c>
      <c r="B23" s="41">
        <f>DEGREES(ASIN(COS(RADIANS(F$1))*SIN(RADIANS(A23))))</f>
        <v>14.698079575499516</v>
      </c>
      <c r="C23" s="24" t="str">
        <f>IF(B23&lt;0,"-","+")&amp;TEXT(INT(ABS(B23)),"0")&amp;CHAR(176)&amp;TEXT(60*(ABS(B23)-INT(ABS(B23)))," 00")&amp;"'"</f>
        <v>+14° 42'</v>
      </c>
      <c r="D23" s="29">
        <f>1/((1-(COS(RADIANS(F$1))*SIN(RADIANS(A23)))^2)^-0.5*COS(RADIANS(F$1))*COS(RADIANS(A23)))</f>
        <v>1.093157674675396</v>
      </c>
      <c r="E23" s="41">
        <f>DEGREES(ATAN(TAN(RADIANS(F$1))/COS(RADIANS(A23))))</f>
        <v>23.825337963473864</v>
      </c>
      <c r="F23" s="16" t="str">
        <f>IF(E23&lt;0,"-","+")&amp;TEXT(INT(ABS(E23)),"0")&amp;CHAR(176)&amp;TEXT(60*(ABS(E23)-INT(ABS(E23)))," 00")&amp;"'"</f>
        <v>+23° 50'</v>
      </c>
      <c r="G23" s="29">
        <f>(1+(TAN(RADIANS(F$1))/COS(RADIANS(A23)))^2)^-1*TAN(RADIANS(F$1))*(TAN(RADIANS(A23))/COS(RADIANS(A23)))</f>
        <v>0.10595979604667521</v>
      </c>
      <c r="H23" s="30">
        <f>90-A23</f>
        <v>74</v>
      </c>
      <c r="I23" s="31">
        <f>DEGREES(ASIN(SIN(RADIANS(A23))*SIN(RADIANS(90-E23))/SIN(RADIANS(B23))))</f>
        <v>83.60722155559236</v>
      </c>
      <c r="K23" s="24">
        <v>61</v>
      </c>
      <c r="L23" s="41">
        <f>DEGREES(ASIN(COS(RADIANS(F$1))*SIN(RADIANS(K23))))</f>
        <v>53.61911080436379</v>
      </c>
      <c r="M23" s="16" t="str">
        <f>IF(L23&lt;0,"-","+")&amp;TEXT(INT(ABS(L23)),"0")&amp;CHAR(176)&amp;TEXT(60*(ABS(L23)-INT(ABS(L23)))," 00")&amp;"'"</f>
        <v>+53° 37'</v>
      </c>
      <c r="N23" s="29">
        <f>1/((1-(COS(RADIANS(F$1))*SIN(RADIANS(K23)))^2)^-0.5*COS(RADIANS(F$1))*COS(RADIANS(K23)))</f>
        <v>1.3291301332396643</v>
      </c>
      <c r="O23" s="41">
        <f>DEGREES(ATAN(TAN(RADIANS(F$1))/COS(RADIANS(K23))))</f>
        <v>41.20375168021303</v>
      </c>
      <c r="P23" s="16" t="str">
        <f>IF(O23&lt;0,"-","+")&amp;TEXT(INT(ABS(O23)),"0")&amp;CHAR(176)&amp;TEXT(60*(ABS(O23)-INT(ABS(O23)))," 00")&amp;"'"</f>
        <v>+41° 12'</v>
      </c>
      <c r="Q23" s="29">
        <f>(1+(TAN(RADIANS(F$1))/COS(RADIANS(K23)))^2)^-1*TAN(RADIANS(F$1))*(TAN(RADIANS(K23))/COS(RADIANS(K23)))</f>
        <v>0.8941157006473126</v>
      </c>
      <c r="R23" s="30">
        <f>90-K23</f>
        <v>29</v>
      </c>
      <c r="S23" s="31">
        <f>DEGREES(ASIN(SIN(RADIANS(K23))*SIN(RADIANS(90-O23))/SIN(RADIANS(L23))))</f>
        <v>54.8200821483213</v>
      </c>
    </row>
    <row r="24" spans="1:19" ht="12.75">
      <c r="A24" s="24">
        <v>17</v>
      </c>
      <c r="B24" s="41">
        <f>DEGREES(ASIN(COS(RADIANS(F$1))*SIN(RADIANS(A24))))</f>
        <v>15.612477959887732</v>
      </c>
      <c r="C24" s="24" t="str">
        <f>IF(B24&lt;0,"-","+")&amp;TEXT(INT(ABS(B24)),"0")&amp;CHAR(176)&amp;TEXT(60*(ABS(B24)-INT(ABS(B24)))," 00")&amp;"'"</f>
        <v>+15° 37'</v>
      </c>
      <c r="D24" s="29">
        <f>1/((1-(COS(RADIANS(F$1))*SIN(RADIANS(A24)))^2)^-0.5*COS(RADIANS(F$1))*COS(RADIANS(A24)))</f>
        <v>1.094084280887984</v>
      </c>
      <c r="E24" s="41">
        <f>DEGREES(ATAN(TAN(RADIANS(F$1))/COS(RADIANS(A24))))</f>
        <v>23.93499006189166</v>
      </c>
      <c r="F24" s="16" t="str">
        <f>IF(E24&lt;0,"-","+")&amp;TEXT(INT(ABS(E24)),"0")&amp;CHAR(176)&amp;TEXT(60*(ABS(E24)-INT(ABS(E24)))," 00")&amp;"'"</f>
        <v>+23° 56'</v>
      </c>
      <c r="G24" s="29">
        <f>(1+(TAN(RADIANS(F$1))/COS(RADIANS(A24)))^2)^-1*TAN(RADIANS(F$1))*(TAN(RADIANS(A24))/COS(RADIANS(A24)))</f>
        <v>0.11336867760808576</v>
      </c>
      <c r="H24" s="30">
        <f>90-A24</f>
        <v>73</v>
      </c>
      <c r="I24" s="31">
        <f>DEGREES(ASIN(SIN(RADIANS(A24))*SIN(RADIANS(90-E24))/SIN(RADIANS(B24))))</f>
        <v>83.18781410975774</v>
      </c>
      <c r="K24" s="24">
        <v>62</v>
      </c>
      <c r="L24" s="41">
        <f>DEGREES(ASIN(COS(RADIANS(F$1))*SIN(RADIANS(K24))))</f>
        <v>54.366232622679576</v>
      </c>
      <c r="M24" s="16" t="str">
        <f>IF(L24&lt;0,"-","+")&amp;TEXT(INT(ABS(L24)),"0")&amp;CHAR(176)&amp;TEXT(60*(ABS(L24)-INT(ABS(L24)))," 00")&amp;"'"</f>
        <v>+54° 22'</v>
      </c>
      <c r="N24" s="29">
        <f>1/((1-(COS(RADIANS(F$1))*SIN(RADIANS(K24)))^2)^-0.5*COS(RADIANS(F$1))*COS(RADIANS(K24)))</f>
        <v>1.3481451411910672</v>
      </c>
      <c r="O24" s="41">
        <f>DEGREES(ATAN(TAN(RADIANS(F$1))/COS(RADIANS(K24))))</f>
        <v>42.11845171311891</v>
      </c>
      <c r="P24" s="16" t="str">
        <f>IF(O24&lt;0,"-","+")&amp;TEXT(INT(ABS(O24)),"0")&amp;CHAR(176)&amp;TEXT(60*(ABS(O24)-INT(ABS(O24)))," 00")&amp;"'"</f>
        <v>+42° 07'</v>
      </c>
      <c r="Q24" s="29">
        <f>(1+(TAN(RADIANS(F$1))/COS(RADIANS(K24)))^2)^-1*TAN(RADIANS(F$1))*(TAN(RADIANS(K24))/COS(RADIANS(K24)))</f>
        <v>0.935610252698956</v>
      </c>
      <c r="R24" s="30">
        <f>90-K24</f>
        <v>28</v>
      </c>
      <c r="S24" s="31">
        <f>DEGREES(ASIN(SIN(RADIANS(K24))*SIN(RADIANS(90-O24))/SIN(RADIANS(L24))))</f>
        <v>53.6893823581704</v>
      </c>
    </row>
    <row r="25" spans="1:19" ht="12.75">
      <c r="A25" s="24">
        <v>18</v>
      </c>
      <c r="B25" s="41">
        <f>DEGREES(ASIN(COS(RADIANS(F$1))*SIN(RADIANS(A25))))</f>
        <v>16.52607345555399</v>
      </c>
      <c r="C25" s="24" t="str">
        <f>IF(B25&lt;0,"-","+")&amp;TEXT(INT(ABS(B25)),"0")&amp;CHAR(176)&amp;TEXT(60*(ABS(B25)-INT(ABS(B25)))," 00")&amp;"'"</f>
        <v>+16° 32'</v>
      </c>
      <c r="D25" s="29">
        <f>1/((1-(COS(RADIANS(F$1))*SIN(RADIANS(A25)))^2)^-0.5*COS(RADIANS(F$1))*COS(RADIANS(A25)))</f>
        <v>1.0950802979607963</v>
      </c>
      <c r="E25" s="41">
        <f>DEGREES(ATAN(TAN(RADIANS(F$1))/COS(RADIANS(A25))))</f>
        <v>24.052125724419916</v>
      </c>
      <c r="F25" s="16" t="str">
        <f>IF(E25&lt;0,"-","+")&amp;TEXT(INT(ABS(E25)),"0")&amp;CHAR(176)&amp;TEXT(60*(ABS(E25)-INT(ABS(E25)))," 00")&amp;"'"</f>
        <v>+24° 03'</v>
      </c>
      <c r="G25" s="29">
        <f>(1+(TAN(RADIANS(F$1))/COS(RADIANS(A25)))^2)^-1*TAN(RADIANS(F$1))*(TAN(RADIANS(A25))/COS(RADIANS(A25)))</f>
        <v>0.12092879101367189</v>
      </c>
      <c r="H25" s="30">
        <f>90-A25</f>
        <v>72</v>
      </c>
      <c r="I25" s="31">
        <f>DEGREES(ASIN(SIN(RADIANS(A25))*SIN(RADIANS(90-E25))/SIN(RADIANS(B25))))</f>
        <v>82.76465045411095</v>
      </c>
      <c r="K25" s="24">
        <v>63</v>
      </c>
      <c r="L25" s="41">
        <f>DEGREES(ASIN(COS(RADIANS(F$1))*SIN(RADIANS(K25))))</f>
        <v>55.10239888121057</v>
      </c>
      <c r="M25" s="16" t="str">
        <f>IF(L25&lt;0,"-","+")&amp;TEXT(INT(ABS(L25)),"0")&amp;CHAR(176)&amp;TEXT(60*(ABS(L25)-INT(ABS(L25)))," 00")&amp;"'"</f>
        <v>+55° 06'</v>
      </c>
      <c r="N25" s="29">
        <f>1/((1-(COS(RADIANS(F$1))*SIN(RADIANS(K25)))^2)^-0.5*COS(RADIANS(F$1))*COS(RADIANS(K25)))</f>
        <v>1.3690138954730566</v>
      </c>
      <c r="O25" s="41">
        <f>DEGREES(ATAN(TAN(RADIANS(F$1))/COS(RADIANS(K25))))</f>
        <v>43.07563471854924</v>
      </c>
      <c r="P25" s="16" t="str">
        <f>IF(O25&lt;0,"-","+")&amp;TEXT(INT(ABS(O25)),"0")&amp;CHAR(176)&amp;TEXT(60*(ABS(O25)-INT(ABS(O25)))," 00")&amp;"'"</f>
        <v>+43° 05'</v>
      </c>
      <c r="Q25" s="29">
        <f>(1+(TAN(RADIANS(F$1))/COS(RADIANS(K25)))^2)^-1*TAN(RADIANS(F$1))*(TAN(RADIANS(K25))/COS(RADIANS(K25)))</f>
        <v>0.9790921551298483</v>
      </c>
      <c r="R25" s="30">
        <f>90-K25</f>
        <v>27</v>
      </c>
      <c r="S25" s="31">
        <f>DEGREES(ASIN(SIN(RADIANS(K25))*SIN(RADIANS(90-O25))/SIN(RADIANS(L25))))</f>
        <v>52.517096474179816</v>
      </c>
    </row>
    <row r="26" spans="1:19" ht="12.75">
      <c r="A26" s="24">
        <v>19</v>
      </c>
      <c r="B26" s="41">
        <f>DEGREES(ASIN(COS(RADIANS(F$1))*SIN(RADIANS(A26))))</f>
        <v>17.43880857645623</v>
      </c>
      <c r="C26" s="24" t="str">
        <f>IF(B26&lt;0,"-","+")&amp;TEXT(INT(ABS(B26)),"0")&amp;CHAR(176)&amp;TEXT(60*(ABS(B26)-INT(ABS(B26)))," 00")&amp;"'"</f>
        <v>+17° 26'</v>
      </c>
      <c r="D26" s="29">
        <f>1/((1-(COS(RADIANS(F$1))*SIN(RADIANS(A26)))^2)^-0.5*COS(RADIANS(F$1))*COS(RADIANS(A26)))</f>
        <v>1.0961483237199354</v>
      </c>
      <c r="E26" s="41">
        <f>DEGREES(ATAN(TAN(RADIANS(F$1))/COS(RADIANS(A26))))</f>
        <v>24.176901858237233</v>
      </c>
      <c r="F26" s="16" t="str">
        <f>IF(E26&lt;0,"-","+")&amp;TEXT(INT(ABS(E26)),"0")&amp;CHAR(176)&amp;TEXT(60*(ABS(E26)-INT(ABS(E26)))," 00")&amp;"'"</f>
        <v>+24° 11'</v>
      </c>
      <c r="G26" s="29">
        <f>(1+(TAN(RADIANS(F$1))/COS(RADIANS(A26)))^2)^-1*TAN(RADIANS(F$1))*(TAN(RADIANS(A26))/COS(RADIANS(A26)))</f>
        <v>0.12865156325845103</v>
      </c>
      <c r="H26" s="30">
        <f>90-A26</f>
        <v>71</v>
      </c>
      <c r="I26" s="31">
        <f>DEGREES(ASIN(SIN(RADIANS(A26))*SIN(RADIANS(90-E26))/SIN(RADIANS(B26))))</f>
        <v>82.33746531084834</v>
      </c>
      <c r="K26" s="24">
        <v>64</v>
      </c>
      <c r="L26" s="41">
        <f>DEGREES(ASIN(COS(RADIANS(F$1))*SIN(RADIANS(K26))))</f>
        <v>55.82689023106458</v>
      </c>
      <c r="M26" s="16" t="str">
        <f>IF(L26&lt;0,"-","+")&amp;TEXT(INT(ABS(L26)),"0")&amp;CHAR(176)&amp;TEXT(60*(ABS(L26)-INT(ABS(L26)))," 00")&amp;"'"</f>
        <v>+55° 50'</v>
      </c>
      <c r="N26" s="29">
        <f>1/((1-(COS(RADIANS(F$1))*SIN(RADIANS(K26)))^2)^-0.5*COS(RADIANS(F$1))*COS(RADIANS(K26)))</f>
        <v>1.3919788229784886</v>
      </c>
      <c r="O26" s="41">
        <f>DEGREES(ATAN(TAN(RADIANS(F$1))/COS(RADIANS(K26))))</f>
        <v>44.07731820201491</v>
      </c>
      <c r="P26" s="16" t="str">
        <f>IF(O26&lt;0,"-","+")&amp;TEXT(INT(ABS(O26)),"0")&amp;CHAR(176)&amp;TEXT(60*(ABS(O26)-INT(ABS(O26)))," 00")&amp;"'"</f>
        <v>+44° 05'</v>
      </c>
      <c r="Q26" s="29">
        <f>(1+(TAN(RADIANS(F$1))/COS(RADIANS(K26)))^2)^-1*TAN(RADIANS(F$1))*(TAN(RADIANS(K26))/COS(RADIANS(K26)))</f>
        <v>1.0246202542555478</v>
      </c>
      <c r="R26" s="30">
        <f>90-K26</f>
        <v>26</v>
      </c>
      <c r="S26" s="31">
        <f>DEGREES(ASIN(SIN(RADIANS(K26))*SIN(RADIANS(90-O26))/SIN(RADIANS(L26))))</f>
        <v>51.30117036042664</v>
      </c>
    </row>
    <row r="27" spans="1:19" ht="12.75">
      <c r="A27" s="24">
        <v>20</v>
      </c>
      <c r="B27" s="41">
        <f>DEGREES(ASIN(COS(RADIANS(F$1))*SIN(RADIANS(A27))))</f>
        <v>18.35062391124319</v>
      </c>
      <c r="C27" s="24" t="str">
        <f>IF(B27&lt;0,"-","+")&amp;TEXT(INT(ABS(B27)),"0")&amp;CHAR(176)&amp;TEXT(60*(ABS(B27)-INT(ABS(B27)))," 00")&amp;"'"</f>
        <v>+18° 21'</v>
      </c>
      <c r="D27" s="29">
        <f>1/((1-(COS(RADIANS(F$1))*SIN(RADIANS(A27)))^2)^-0.5*COS(RADIANS(F$1))*COS(RADIANS(A27)))</f>
        <v>1.0972911850935774</v>
      </c>
      <c r="E27" s="41">
        <f>DEGREES(ATAN(TAN(RADIANS(F$1))/COS(RADIANS(A27))))</f>
        <v>24.309487032748027</v>
      </c>
      <c r="F27" s="16" t="str">
        <f>IF(E27&lt;0,"-","+")&amp;TEXT(INT(ABS(E27)),"0")&amp;CHAR(176)&amp;TEXT(60*(ABS(E27)-INT(ABS(E27)))," 00")&amp;"'"</f>
        <v>+24° 19'</v>
      </c>
      <c r="G27" s="29">
        <f>(1+(TAN(RADIANS(F$1))/COS(RADIANS(A27)))^2)^-1*TAN(RADIANS(F$1))*(TAN(RADIANS(A27))/COS(RADIANS(A27)))</f>
        <v>0.13654889812080695</v>
      </c>
      <c r="H27" s="30">
        <f>90-A27</f>
        <v>70</v>
      </c>
      <c r="I27" s="31">
        <f>DEGREES(ASIN(SIN(RADIANS(A27))*SIN(RADIANS(90-E27))/SIN(RADIANS(B27))))</f>
        <v>81.90598517599456</v>
      </c>
      <c r="K27" s="24">
        <v>65</v>
      </c>
      <c r="L27" s="41">
        <f>DEGREES(ASIN(COS(RADIANS(F$1))*SIN(RADIANS(K27))))</f>
        <v>56.53893726021623</v>
      </c>
      <c r="M27" s="16" t="str">
        <f>IF(L27&lt;0,"-","+")&amp;TEXT(INT(ABS(L27)),"0")&amp;CHAR(176)&amp;TEXT(60*(ABS(L27)-INT(ABS(L27)))," 00")&amp;"'"</f>
        <v>+56° 32'</v>
      </c>
      <c r="N27" s="29">
        <f>1/((1-(COS(RADIANS(F$1))*SIN(RADIANS(K27)))^2)^-0.5*COS(RADIANS(F$1))*COS(RADIANS(K27)))</f>
        <v>1.4173232738295813</v>
      </c>
      <c r="O27" s="41">
        <f>DEGREES(ATAN(TAN(RADIANS(F$1))/COS(RADIANS(K27))))</f>
        <v>45.12557364468573</v>
      </c>
      <c r="P27" s="16" t="str">
        <f>IF(O27&lt;0,"-","+")&amp;TEXT(INT(ABS(O27)),"0")&amp;CHAR(176)&amp;TEXT(60*(ABS(O27)-INT(ABS(O27)))," 00")&amp;"'"</f>
        <v>+45° 08'</v>
      </c>
      <c r="Q27" s="29">
        <f>(1+(TAN(RADIANS(F$1))/COS(RADIANS(K27)))^2)^-1*TAN(RADIANS(F$1))*(TAN(RADIANS(K27))/COS(RADIANS(K27)))</f>
        <v>1.0722431592760369</v>
      </c>
      <c r="R27" s="30">
        <f>90-K27</f>
        <v>25</v>
      </c>
      <c r="S27" s="31">
        <f>DEGREES(ASIN(SIN(RADIANS(K27))*SIN(RADIANS(90-O27))/SIN(RADIANS(L27))))</f>
        <v>50.03949643472303</v>
      </c>
    </row>
    <row r="28" spans="1:19" ht="12.75">
      <c r="A28" s="24">
        <v>21</v>
      </c>
      <c r="B28" s="41">
        <f>DEGREES(ASIN(COS(RADIANS(F$1))*SIN(RADIANS(A28))))</f>
        <v>19.261457966707635</v>
      </c>
      <c r="C28" s="24" t="str">
        <f>IF(B28&lt;0,"-","+")&amp;TEXT(INT(ABS(B28)),"0")&amp;CHAR(176)&amp;TEXT(60*(ABS(B28)-INT(ABS(B28)))," 00")&amp;"'"</f>
        <v>+19° 16'</v>
      </c>
      <c r="D28" s="29">
        <f>1/((1-(COS(RADIANS(F$1))*SIN(RADIANS(A28)))^2)^-0.5*COS(RADIANS(F$1))*COS(RADIANS(A28)))</f>
        <v>1.0985119543490458</v>
      </c>
      <c r="E28" s="41">
        <f>DEGREES(ATAN(TAN(RADIANS(F$1))/COS(RADIANS(A28))))</f>
        <v>24.450061975686857</v>
      </c>
      <c r="F28" s="16" t="str">
        <f>IF(E28&lt;0,"-","+")&amp;TEXT(INT(ABS(E28)),"0")&amp;CHAR(176)&amp;TEXT(60*(ABS(E28)-INT(ABS(E28)))," 00")&amp;"'"</f>
        <v>+24° 27'</v>
      </c>
      <c r="G28" s="29">
        <f>(1+(TAN(RADIANS(F$1))/COS(RADIANS(A28)))^2)^-1*TAN(RADIANS(F$1))*(TAN(RADIANS(A28))/COS(RADIANS(A28)))</f>
        <v>0.14463321516561767</v>
      </c>
      <c r="H28" s="30">
        <f>90-A28</f>
        <v>69</v>
      </c>
      <c r="I28" s="31">
        <f>DEGREES(ASIN(SIN(RADIANS(A28))*SIN(RADIANS(90-E28))/SIN(RADIANS(B28))))</f>
        <v>81.46992767888099</v>
      </c>
      <c r="K28" s="24">
        <v>66</v>
      </c>
      <c r="L28" s="41">
        <f>DEGREES(ASIN(COS(RADIANS(F$1))*SIN(RADIANS(K28))))</f>
        <v>57.23771778605101</v>
      </c>
      <c r="M28" s="16" t="str">
        <f>IF(L28&lt;0,"-","+")&amp;TEXT(INT(ABS(L28)),"0")&amp;CHAR(176)&amp;TEXT(60*(ABS(L28)-INT(ABS(L28)))," 00")&amp;"'"</f>
        <v>+57° 14'</v>
      </c>
      <c r="N28" s="29">
        <f>1/((1-(COS(RADIANS(F$1))*SIN(RADIANS(K28)))^2)^-0.5*COS(RADIANS(F$1))*COS(RADIANS(K28)))</f>
        <v>1.4453801658507839</v>
      </c>
      <c r="O28" s="41">
        <f>DEGREES(ATAN(TAN(RADIANS(F$1))/COS(RADIANS(K28))))</f>
        <v>46.22251469138596</v>
      </c>
      <c r="P28" s="16" t="str">
        <f>IF(O28&lt;0,"-","+")&amp;TEXT(INT(ABS(O28)),"0")&amp;CHAR(176)&amp;TEXT(60*(ABS(O28)-INT(ABS(O28)))," 00")&amp;"'"</f>
        <v>+46° 13'</v>
      </c>
      <c r="Q28" s="29">
        <f>(1+(TAN(RADIANS(F$1))/COS(RADIANS(K28)))^2)^-1*TAN(RADIANS(F$1))*(TAN(RADIANS(K28))/COS(RADIANS(K28)))</f>
        <v>1.121996003375551</v>
      </c>
      <c r="R28" s="30">
        <f>90-K28</f>
        <v>24</v>
      </c>
      <c r="S28" s="31">
        <f>DEGREES(ASIN(SIN(RADIANS(K28))*SIN(RADIANS(90-O28))/SIN(RADIANS(L28))))</f>
        <v>48.72992545570044</v>
      </c>
    </row>
    <row r="29" spans="1:19" ht="12.75">
      <c r="A29" s="24">
        <v>22</v>
      </c>
      <c r="B29" s="41">
        <f>DEGREES(ASIN(COS(RADIANS(F$1))*SIN(RADIANS(A29))))</f>
        <v>20.171247001913542</v>
      </c>
      <c r="C29" s="24" t="str">
        <f>IF(B29&lt;0,"-","+")&amp;TEXT(INT(ABS(B29)),"0")&amp;CHAR(176)&amp;TEXT(60*(ABS(B29)-INT(ABS(B29)))," 00")&amp;"'"</f>
        <v>+20° 10'</v>
      </c>
      <c r="D29" s="29">
        <f>1/((1-(COS(RADIANS(F$1))*SIN(RADIANS(A29)))^2)^-0.5*COS(RADIANS(F$1))*COS(RADIANS(A29)))</f>
        <v>1.0998139670762097</v>
      </c>
      <c r="E29" s="41">
        <f>DEGREES(ATAN(TAN(RADIANS(F$1))/COS(RADIANS(A29))))</f>
        <v>24.598820109337602</v>
      </c>
      <c r="F29" s="16" t="str">
        <f>IF(E29&lt;0,"-","+")&amp;TEXT(INT(ABS(E29)),"0")&amp;CHAR(176)&amp;TEXT(60*(ABS(E29)-INT(ABS(E29)))," 00")&amp;"'"</f>
        <v>+24° 36'</v>
      </c>
      <c r="G29" s="29">
        <f>(1+(TAN(RADIANS(F$1))/COS(RADIANS(A29)))^2)^-1*TAN(RADIANS(F$1))*(TAN(RADIANS(A29))/COS(RADIANS(A29)))</f>
        <v>0.15291749099918062</v>
      </c>
      <c r="H29" s="30">
        <f>90-A29</f>
        <v>68</v>
      </c>
      <c r="I29" s="31">
        <f>DEGREES(ASIN(SIN(RADIANS(A29))*SIN(RADIANS(90-E29))/SIN(RADIANS(B29))))</f>
        <v>81.02900090833357</v>
      </c>
      <c r="K29" s="24">
        <v>67</v>
      </c>
      <c r="L29" s="41">
        <f>DEGREES(ASIN(COS(RADIANS(F$1))*SIN(RADIANS(K29))))</f>
        <v>57.92235429038252</v>
      </c>
      <c r="M29" s="16" t="str">
        <f>IF(L29&lt;0,"-","+")&amp;TEXT(INT(ABS(L29)),"0")&amp;CHAR(176)&amp;TEXT(60*(ABS(L29)-INT(ABS(L29)))," 00")&amp;"'"</f>
        <v>+57° 55'</v>
      </c>
      <c r="N29" s="29">
        <f>1/((1-(COS(RADIANS(F$1))*SIN(RADIANS(K29)))^2)^-0.5*COS(RADIANS(F$1))*COS(RADIANS(K29)))</f>
        <v>1.4765428776693812</v>
      </c>
      <c r="O29" s="41">
        <f>DEGREES(ATAN(TAN(RADIANS(F$1))/COS(RADIANS(K29))))</f>
        <v>47.37028182456789</v>
      </c>
      <c r="P29" s="16" t="str">
        <f>IF(O29&lt;0,"-","+")&amp;TEXT(INT(ABS(O29)),"0")&amp;CHAR(176)&amp;TEXT(60*(ABS(O29)-INT(ABS(O29)))," 00")&amp;"'"</f>
        <v>+47° 22'</v>
      </c>
      <c r="Q29" s="29">
        <f>(1+(TAN(RADIANS(F$1))/COS(RADIANS(K29)))^2)^-1*TAN(RADIANS(F$1))*(TAN(RADIANS(K29))/COS(RADIANS(K29)))</f>
        <v>1.1738966471689078</v>
      </c>
      <c r="R29" s="30">
        <f>90-K29</f>
        <v>23</v>
      </c>
      <c r="S29" s="31">
        <f>DEGREES(ASIN(SIN(RADIANS(K29))*SIN(RADIANS(90-O29))/SIN(RADIANS(L29))))</f>
        <v>47.37028182456788</v>
      </c>
    </row>
    <row r="30" spans="1:19" ht="12.75">
      <c r="A30" s="24">
        <v>23</v>
      </c>
      <c r="B30" s="41">
        <f>DEGREES(ASIN(COS(RADIANS(F$1))*SIN(RADIANS(A30))))</f>
        <v>21.079924852135704</v>
      </c>
      <c r="C30" s="24" t="str">
        <f>IF(B30&lt;0,"-","+")&amp;TEXT(INT(ABS(B30)),"0")&amp;CHAR(176)&amp;TEXT(60*(ABS(B30)-INT(ABS(B30)))," 00")&amp;"'"</f>
        <v>+21° 05'</v>
      </c>
      <c r="D30" s="29">
        <f>1/((1-(COS(RADIANS(F$1))*SIN(RADIANS(A30)))^2)^-0.5*COS(RADIANS(F$1))*COS(RADIANS(A30)))</f>
        <v>1.101200842101537</v>
      </c>
      <c r="E30" s="41">
        <f>DEGREES(ATAN(TAN(RADIANS(F$1))/COS(RADIANS(A30))))</f>
        <v>24.755968129205556</v>
      </c>
      <c r="F30" s="16" t="str">
        <f>IF(E30&lt;0,"-","+")&amp;TEXT(INT(ABS(E30)),"0")&amp;CHAR(176)&amp;TEXT(60*(ABS(E30)-INT(ABS(E30)))," 00")&amp;"'"</f>
        <v>+24° 45'</v>
      </c>
      <c r="G30" s="29">
        <f>(1+(TAN(RADIANS(F$1))/COS(RADIANS(A30)))^2)^-1*TAN(RADIANS(F$1))*(TAN(RADIANS(A30))/COS(RADIANS(A30)))</f>
        <v>0.16141530294961476</v>
      </c>
      <c r="H30" s="30">
        <f>90-A30</f>
        <v>67</v>
      </c>
      <c r="I30" s="31">
        <f>DEGREES(ASIN(SIN(RADIANS(A30))*SIN(RADIANS(90-E30))/SIN(RADIANS(B30))))</f>
        <v>80.58290270285829</v>
      </c>
      <c r="K30" s="24">
        <v>68</v>
      </c>
      <c r="L30" s="41">
        <f>DEGREES(ASIN(COS(RADIANS(F$1))*SIN(RADIANS(K30))))</f>
        <v>58.59191159117804</v>
      </c>
      <c r="M30" s="16" t="str">
        <f>IF(L30&lt;0,"-","+")&amp;TEXT(INT(ABS(L30)),"0")&amp;CHAR(176)&amp;TEXT(60*(ABS(L30)-INT(ABS(L30)))," 00")&amp;"'"</f>
        <v>+58° 36'</v>
      </c>
      <c r="N30" s="29">
        <f>1/((1-(COS(RADIANS(F$1))*SIN(RADIANS(K30)))^2)^-0.5*COS(RADIANS(F$1))*COS(RADIANS(K30)))</f>
        <v>1.5112791013971478</v>
      </c>
      <c r="O30" s="41">
        <f>DEGREES(ATAN(TAN(RADIANS(F$1))/COS(RADIANS(K30))))</f>
        <v>48.57102294645855</v>
      </c>
      <c r="P30" s="16" t="str">
        <f>IF(O30&lt;0,"-","+")&amp;TEXT(INT(ABS(O30)),"0")&amp;CHAR(176)&amp;TEXT(60*(ABS(O30)-INT(ABS(O30)))," 00")&amp;"'"</f>
        <v>+48° 34'</v>
      </c>
      <c r="Q30" s="29">
        <f>(1+(TAN(RADIANS(F$1))/COS(RADIANS(K30)))^2)^-1*TAN(RADIANS(F$1))*(TAN(RADIANS(K30))/COS(RADIANS(K30)))</f>
        <v>1.2279412865216905</v>
      </c>
      <c r="R30" s="30">
        <f>90-K30</f>
        <v>22</v>
      </c>
      <c r="S30" s="31">
        <f>DEGREES(ASIN(SIN(RADIANS(K30))*SIN(RADIANS(90-O30))/SIN(RADIANS(L30))))</f>
        <v>45.95838297931388</v>
      </c>
    </row>
    <row r="31" spans="1:19" ht="12.75">
      <c r="A31" s="24">
        <v>24</v>
      </c>
      <c r="B31" s="41">
        <f>DEGREES(ASIN(COS(RADIANS(F$1))*SIN(RADIANS(A31))))</f>
        <v>21.987422741680437</v>
      </c>
      <c r="C31" s="24" t="str">
        <f>IF(B31&lt;0,"-","+")&amp;TEXT(INT(ABS(B31)),"0")&amp;CHAR(176)&amp;TEXT(60*(ABS(B31)-INT(ABS(B31)))," 00")&amp;"'"</f>
        <v>+21° 59'</v>
      </c>
      <c r="D31" s="29">
        <f>1/((1-(COS(RADIANS(F$1))*SIN(RADIANS(A31)))^2)^-0.5*COS(RADIANS(F$1))*COS(RADIANS(A31)))</f>
        <v>1.1026765035415023</v>
      </c>
      <c r="E31" s="41">
        <f>DEGREES(ATAN(TAN(RADIANS(F$1))/COS(RADIANS(A31))))</f>
        <v>24.92172662765745</v>
      </c>
      <c r="F31" s="16" t="str">
        <f>IF(E31&lt;0,"-","+")&amp;TEXT(INT(ABS(E31)),"0")&amp;CHAR(176)&amp;TEXT(60*(ABS(E31)-INT(ABS(E31)))," 00")&amp;"'"</f>
        <v>+24° 55'</v>
      </c>
      <c r="G31" s="29">
        <f>(1+(TAN(RADIANS(F$1))/COS(RADIANS(A31)))^2)^-1*TAN(RADIANS(F$1))*(TAN(RADIANS(A31))/COS(RADIANS(A31)))</f>
        <v>0.17014087535291555</v>
      </c>
      <c r="H31" s="30">
        <f>90-A31</f>
        <v>66</v>
      </c>
      <c r="I31" s="31">
        <f>DEGREES(ASIN(SIN(RADIANS(A31))*SIN(RADIANS(90-E31))/SIN(RADIANS(B31))))</f>
        <v>80.13131990195939</v>
      </c>
      <c r="K31" s="24">
        <v>69</v>
      </c>
      <c r="L31" s="41">
        <f>DEGREES(ASIN(COS(RADIANS(F$1))*SIN(RADIANS(K31))))</f>
        <v>59.245394866860444</v>
      </c>
      <c r="M31" s="16" t="str">
        <f>IF(L31&lt;0,"-","+")&amp;TEXT(INT(ABS(L31)),"0")&amp;CHAR(176)&amp;TEXT(60*(ABS(L31)-INT(ABS(L31)))," 00")&amp;"'"</f>
        <v>+59° 15'</v>
      </c>
      <c r="N31" s="29">
        <f>1/((1-(COS(RADIANS(F$1))*SIN(RADIANS(K31)))^2)^-0.5*COS(RADIANS(F$1))*COS(RADIANS(K31)))</f>
        <v>1.5501486355982221</v>
      </c>
      <c r="O31" s="41">
        <f>DEGREES(ATAN(TAN(RADIANS(F$1))/COS(RADIANS(K31))))</f>
        <v>49.82686926196168</v>
      </c>
      <c r="P31" s="16" t="str">
        <f>IF(O31&lt;0,"-","+")&amp;TEXT(INT(ABS(O31)),"0")&amp;CHAR(176)&amp;TEXT(60*(ABS(O31)-INT(ABS(O31)))," 00")&amp;"'"</f>
        <v>+49° 50'</v>
      </c>
      <c r="Q31" s="29">
        <f>(1+(TAN(RADIANS(F$1))/COS(RADIANS(K31)))^2)^-1*TAN(RADIANS(F$1))*(TAN(RADIANS(K31))/COS(RADIANS(K31)))</f>
        <v>1.284099444935765</v>
      </c>
      <c r="R31" s="30">
        <f>90-K31</f>
        <v>21</v>
      </c>
      <c r="S31" s="31">
        <f>DEGREES(ASIN(SIN(RADIANS(K31))*SIN(RADIANS(90-O31))/SIN(RADIANS(L31))))</f>
        <v>44.49206348873644</v>
      </c>
    </row>
    <row r="32" spans="1:19" ht="12.75">
      <c r="A32" s="24">
        <v>25</v>
      </c>
      <c r="B32" s="41">
        <f>DEGREES(ASIN(COS(RADIANS(F$1))*SIN(RADIANS(A32))))</f>
        <v>22.89366908457962</v>
      </c>
      <c r="C32" s="24" t="str">
        <f>IF(B32&lt;0,"-","+")&amp;TEXT(INT(ABS(B32)),"0")&amp;CHAR(176)&amp;TEXT(60*(ABS(B32)-INT(ABS(B32)))," 00")&amp;"'"</f>
        <v>+22° 54'</v>
      </c>
      <c r="D32" s="29">
        <f>1/((1-(COS(RADIANS(F$1))*SIN(RADIANS(A32)))^2)^-0.5*COS(RADIANS(F$1))*COS(RADIANS(A32)))</f>
        <v>1.1042452052318177</v>
      </c>
      <c r="E32" s="41">
        <f>DEGREES(ATAN(TAN(RADIANS(F$1))/COS(RADIANS(A32))))</f>
        <v>25.096330765227695</v>
      </c>
      <c r="F32" s="16" t="str">
        <f>IF(E32&lt;0,"-","+")&amp;TEXT(INT(ABS(E32)),"0")&amp;CHAR(176)&amp;TEXT(60*(ABS(E32)-INT(ABS(E32)))," 00")&amp;"'"</f>
        <v>+25° 06'</v>
      </c>
      <c r="G32" s="29">
        <f>(1+(TAN(RADIANS(F$1))/COS(RADIANS(A32)))^2)^-1*TAN(RADIANS(F$1))*(TAN(RADIANS(A32))/COS(RADIANS(A32)))</f>
        <v>0.17910912863073677</v>
      </c>
      <c r="H32" s="30">
        <f>90-A32</f>
        <v>65</v>
      </c>
      <c r="I32" s="31">
        <f>DEGREES(ASIN(SIN(RADIANS(A32))*SIN(RADIANS(90-E32))/SIN(RADIANS(B32))))</f>
        <v>79.67392755556412</v>
      </c>
      <c r="K32" s="24">
        <v>70</v>
      </c>
      <c r="L32" s="41">
        <f>DEGREES(ASIN(COS(RADIANS(F$1))*SIN(RADIANS(K32))))</f>
        <v>59.88174817309611</v>
      </c>
      <c r="M32" s="16" t="str">
        <f>IF(L32&lt;0,"-","+")&amp;TEXT(INT(ABS(L32)),"0")&amp;CHAR(176)&amp;TEXT(60*(ABS(L32)-INT(ABS(L32)))," 00")&amp;"'"</f>
        <v>+59° 53'</v>
      </c>
      <c r="N32" s="29">
        <f>1/((1-(COS(RADIANS(F$1))*SIN(RADIANS(K32)))^2)^-0.5*COS(RADIANS(F$1))*COS(RADIANS(K32)))</f>
        <v>1.5938264902612636</v>
      </c>
      <c r="O32" s="41">
        <f>DEGREES(ATAN(TAN(RADIANS(F$1))/COS(RADIANS(K32))))</f>
        <v>51.13990584817135</v>
      </c>
      <c r="P32" s="16" t="str">
        <f>IF(O32&lt;0,"-","+")&amp;TEXT(INT(ABS(O32)),"0")&amp;CHAR(176)&amp;TEXT(60*(ABS(O32)-INT(ABS(O32)))," 00")&amp;"'"</f>
        <v>+51° 08'</v>
      </c>
      <c r="Q32" s="29">
        <f>(1+(TAN(RADIANS(F$1))/COS(RADIANS(K32)))^2)^-1*TAN(RADIANS(F$1))*(TAN(RADIANS(K32))/COS(RADIANS(K32)))</f>
        <v>1.342308358695622</v>
      </c>
      <c r="R32" s="30">
        <f>90-K32</f>
        <v>20</v>
      </c>
      <c r="S32" s="31">
        <f>DEGREES(ASIN(SIN(RADIANS(K32))*SIN(RADIANS(90-O32))/SIN(RADIANS(L32))))</f>
        <v>42.96920446041112</v>
      </c>
    </row>
    <row r="33" spans="1:19" ht="12.75">
      <c r="A33" s="24">
        <v>26</v>
      </c>
      <c r="B33" s="41">
        <f>DEGREES(ASIN(COS(RADIANS(F$1))*SIN(RADIANS(A33))))</f>
        <v>23.79858927206682</v>
      </c>
      <c r="C33" s="24" t="str">
        <f>IF(B33&lt;0,"-","+")&amp;TEXT(INT(ABS(B33)),"0")&amp;CHAR(176)&amp;TEXT(60*(ABS(B33)-INT(ABS(B33)))," 00")&amp;"'"</f>
        <v>+23° 48'</v>
      </c>
      <c r="D33" s="29">
        <f>1/((1-(COS(RADIANS(F$1))*SIN(RADIANS(A33)))^2)^-0.5*COS(RADIANS(F$1))*COS(RADIANS(A33)))</f>
        <v>1.1059115578006748</v>
      </c>
      <c r="E33" s="41">
        <f>DEGREES(ATAN(TAN(RADIANS(F$1))/COS(RADIANS(A33))))</f>
        <v>25.28003099247769</v>
      </c>
      <c r="F33" s="16" t="str">
        <f>IF(E33&lt;0,"-","+")&amp;TEXT(INT(ABS(E33)),"0")&amp;CHAR(176)&amp;TEXT(60*(ABS(E33)-INT(ABS(E33)))," 00")&amp;"'"</f>
        <v>+25° 17'</v>
      </c>
      <c r="G33" s="29">
        <f>(1+(TAN(RADIANS(F$1))/COS(RADIANS(A33)))^2)^-1*TAN(RADIANS(F$1))*(TAN(RADIANS(A33))/COS(RADIANS(A33)))</f>
        <v>0.1883357313509473</v>
      </c>
      <c r="H33" s="30">
        <f>90-A33</f>
        <v>64</v>
      </c>
      <c r="I33" s="31">
        <f>DEGREES(ASIN(SIN(RADIANS(A33))*SIN(RADIANS(90-E33))/SIN(RADIANS(B33))))</f>
        <v>79.21038808835448</v>
      </c>
      <c r="K33" s="24">
        <v>71</v>
      </c>
      <c r="L33" s="41">
        <f>DEGREES(ASIN(COS(RADIANS(F$1))*SIN(RADIANS(K33))))</f>
        <v>60.49985361786405</v>
      </c>
      <c r="M33" s="16" t="str">
        <f>IF(L33&lt;0,"-","+")&amp;TEXT(INT(ABS(L33)),"0")&amp;CHAR(176)&amp;TEXT(60*(ABS(L33)-INT(ABS(L33)))," 00")&amp;"'"</f>
        <v>+60° 30'</v>
      </c>
      <c r="N33" s="29">
        <f>1/((1-(COS(RADIANS(F$1))*SIN(RADIANS(K33)))^2)^-0.5*COS(RADIANS(F$1))*COS(RADIANS(K33)))</f>
        <v>1.643133251620786</v>
      </c>
      <c r="O33" s="41">
        <f>DEGREES(ATAN(TAN(RADIANS(F$1))/COS(RADIANS(K33))))</f>
        <v>52.512136323549086</v>
      </c>
      <c r="P33" s="16" t="str">
        <f>IF(O33&lt;0,"-","+")&amp;TEXT(INT(ABS(O33)),"0")&amp;CHAR(176)&amp;TEXT(60*(ABS(O33)-INT(ABS(O33)))," 00")&amp;"'"</f>
        <v>+52° 31'</v>
      </c>
      <c r="Q33" s="29">
        <f>(1+(TAN(RADIANS(F$1))/COS(RADIANS(K33)))^2)^-1*TAN(RADIANS(F$1))*(TAN(RADIANS(K33))/COS(RADIANS(K33)))</f>
        <v>1.4024668032089713</v>
      </c>
      <c r="R33" s="30">
        <f>90-K33</f>
        <v>19</v>
      </c>
      <c r="S33" s="31">
        <f>DEGREES(ASIN(SIN(RADIANS(K33))*SIN(RADIANS(90-O33))/SIN(RADIANS(L33))))</f>
        <v>41.38776884951462</v>
      </c>
    </row>
    <row r="34" spans="1:19" ht="12.75">
      <c r="A34" s="24">
        <v>27</v>
      </c>
      <c r="B34" s="41">
        <f>DEGREES(ASIN(COS(RADIANS(F$1))*SIN(RADIANS(A34))))</f>
        <v>24.702105445651988</v>
      </c>
      <c r="C34" s="24" t="str">
        <f>IF(B34&lt;0,"-","+")&amp;TEXT(INT(ABS(B34)),"0")&amp;CHAR(176)&amp;TEXT(60*(ABS(B34)-INT(ABS(B34)))," 00")&amp;"'"</f>
        <v>+24° 42'</v>
      </c>
      <c r="D34" s="29">
        <f>1/((1-(COS(RADIANS(F$1))*SIN(RADIANS(A34)))^2)^-0.5*COS(RADIANS(F$1))*COS(RADIANS(A34)))</f>
        <v>1.1076805586905296</v>
      </c>
      <c r="E34" s="41">
        <f>DEGREES(ATAN(TAN(RADIANS(F$1))/COS(RADIANS(A34))))</f>
        <v>25.473093825488075</v>
      </c>
      <c r="F34" s="16" t="str">
        <f>IF(E34&lt;0,"-","+")&amp;TEXT(INT(ABS(E34)),"0")&amp;CHAR(176)&amp;TEXT(60*(ABS(E34)-INT(ABS(E34)))," 00")&amp;"'"</f>
        <v>+25° 28'</v>
      </c>
      <c r="G34" s="29">
        <f>(1+(TAN(RADIANS(F$1))/COS(RADIANS(A34)))^2)^-1*TAN(RADIANS(F$1))*(TAN(RADIANS(A34))/COS(RADIANS(A34)))</f>
        <v>0.19783715546565048</v>
      </c>
      <c r="H34" s="30">
        <f>90-A34</f>
        <v>63</v>
      </c>
      <c r="I34" s="31">
        <f>DEGREES(ASIN(SIN(RADIANS(A34))*SIN(RADIANS(90-E34))/SIN(RADIANS(B34))))</f>
        <v>78.74035041563728</v>
      </c>
      <c r="K34" s="24">
        <v>72</v>
      </c>
      <c r="L34" s="41">
        <f>DEGREES(ASIN(COS(RADIANS(F$1))*SIN(RADIANS(K34))))</f>
        <v>61.09853138733339</v>
      </c>
      <c r="M34" s="16" t="str">
        <f>IF(L34&lt;0,"-","+")&amp;TEXT(INT(ABS(L34)),"0")&amp;CHAR(176)&amp;TEXT(60*(ABS(L34)-INT(ABS(L34)))," 00")&amp;"'"</f>
        <v>+61° 06'</v>
      </c>
      <c r="N34" s="29">
        <f>1/((1-(COS(RADIANS(F$1))*SIN(RADIANS(K34)))^2)^-0.5*COS(RADIANS(F$1))*COS(RADIANS(K34)))</f>
        <v>1.6990755188128965</v>
      </c>
      <c r="O34" s="41">
        <f>DEGREES(ATAN(TAN(RADIANS(F$1))/COS(RADIANS(K34))))</f>
        <v>53.94544110432939</v>
      </c>
      <c r="P34" s="16" t="str">
        <f>IF(O34&lt;0,"-","+")&amp;TEXT(INT(ABS(O34)),"0")&amp;CHAR(176)&amp;TEXT(60*(ABS(O34)-INT(ABS(O34)))," 00")&amp;"'"</f>
        <v>+53° 57'</v>
      </c>
      <c r="Q34" s="29">
        <f>(1+(TAN(RADIANS(F$1))/COS(RADIANS(K34)))^2)^-1*TAN(RADIANS(F$1))*(TAN(RADIANS(K34))/COS(RADIANS(K34)))</f>
        <v>1.464428463719033</v>
      </c>
      <c r="R34" s="30">
        <f>90-K34</f>
        <v>18</v>
      </c>
      <c r="S34" s="31">
        <f>DEGREES(ASIN(SIN(RADIANS(K34))*SIN(RADIANS(90-O34))/SIN(RADIANS(L34))))</f>
        <v>39.745843180907876</v>
      </c>
    </row>
    <row r="35" spans="1:19" ht="12.75">
      <c r="A35" s="24">
        <v>28</v>
      </c>
      <c r="B35" s="41">
        <f>DEGREES(ASIN(COS(RADIANS(F$1))*SIN(RADIANS(A35))))</f>
        <v>25.604136254510834</v>
      </c>
      <c r="C35" s="24" t="str">
        <f>IF(B35&lt;0,"-","+")&amp;TEXT(INT(ABS(B35)),"0")&amp;CHAR(176)&amp;TEXT(60*(ABS(B35)-INT(ABS(B35)))," 00")&amp;"'"</f>
        <v>+25° 36'</v>
      </c>
      <c r="D35" s="29">
        <f>1/((1-(COS(RADIANS(F$1))*SIN(RADIANS(A35)))^2)^-0.5*COS(RADIANS(F$1))*COS(RADIANS(A35)))</f>
        <v>1.1095576254746302</v>
      </c>
      <c r="E35" s="41">
        <f>DEGREES(ATAN(TAN(RADIANS(F$1))/COS(RADIANS(A35))))</f>
        <v>25.67580267825959</v>
      </c>
      <c r="F35" s="16" t="str">
        <f>IF(E35&lt;0,"-","+")&amp;TEXT(INT(ABS(E35)),"0")&amp;CHAR(176)&amp;TEXT(60*(ABS(E35)-INT(ABS(E35)))," 00")&amp;"'"</f>
        <v>+25° 41'</v>
      </c>
      <c r="G35" s="29">
        <f>(1+(TAN(RADIANS(F$1))/COS(RADIANS(A35)))^2)^-1*TAN(RADIANS(F$1))*(TAN(RADIANS(A35))/COS(RADIANS(A35)))</f>
        <v>0.20763073492315468</v>
      </c>
      <c r="H35" s="30">
        <f>90-A35</f>
        <v>62</v>
      </c>
      <c r="I35" s="31">
        <f>DEGREES(ASIN(SIN(RADIANS(A35))*SIN(RADIANS(90-E35))/SIN(RADIANS(B35))))</f>
        <v>78.26344900719994</v>
      </c>
      <c r="K35" s="24">
        <v>73</v>
      </c>
      <c r="L35" s="41">
        <f>DEGREES(ASIN(COS(RADIANS(F$1))*SIN(RADIANS(K35))))</f>
        <v>61.676540841088844</v>
      </c>
      <c r="M35" s="16" t="str">
        <f>IF(L35&lt;0,"-","+")&amp;TEXT(INT(ABS(L35)),"0")&amp;CHAR(176)&amp;TEXT(60*(ABS(L35)-INT(ABS(L35)))," 00")&amp;"'"</f>
        <v>+61° 41'</v>
      </c>
      <c r="N35" s="29">
        <f>1/((1-(COS(RADIANS(F$1))*SIN(RADIANS(K35)))^2)^-0.5*COS(RADIANS(F$1))*COS(RADIANS(K35)))</f>
        <v>1.762900546021358</v>
      </c>
      <c r="O35" s="41">
        <f>DEGREES(ATAN(TAN(RADIANS(F$1))/COS(RADIANS(K35))))</f>
        <v>55.4415288729808</v>
      </c>
      <c r="P35" s="16" t="str">
        <f>IF(O35&lt;0,"-","+")&amp;TEXT(INT(ABS(O35)),"0")&amp;CHAR(176)&amp;TEXT(60*(ABS(O35)-INT(ABS(O35)))," 00")&amp;"'"</f>
        <v>+55° 26'</v>
      </c>
      <c r="Q35" s="29">
        <f>(1+(TAN(RADIANS(F$1))/COS(RADIANS(K35)))^2)^-1*TAN(RADIANS(F$1))*(TAN(RADIANS(K35))/COS(RADIANS(K35)))</f>
        <v>1.5279950245324372</v>
      </c>
      <c r="R35" s="30">
        <f>90-K35</f>
        <v>17</v>
      </c>
      <c r="S35" s="31">
        <f>DEGREES(ASIN(SIN(RADIANS(K35))*SIN(RADIANS(90-O35))/SIN(RADIANS(L35))))</f>
        <v>38.04168605962278</v>
      </c>
    </row>
    <row r="36" spans="1:19" ht="12.75">
      <c r="A36" s="24">
        <v>29</v>
      </c>
      <c r="B36" s="41">
        <f>DEGREES(ASIN(COS(RADIANS(F$1))*SIN(RADIANS(A36))))</f>
        <v>26.504596595794748</v>
      </c>
      <c r="C36" s="24" t="str">
        <f>IF(B36&lt;0,"-","+")&amp;TEXT(INT(ABS(B36)),"0")&amp;CHAR(176)&amp;TEXT(60*(ABS(B36)-INT(ABS(B36)))," 00")&amp;"'"</f>
        <v>+26° 30'</v>
      </c>
      <c r="D36" s="29">
        <f>1/((1-(COS(RADIANS(F$1))*SIN(RADIANS(A36)))^2)^-0.5*COS(RADIANS(F$1))*COS(RADIANS(A36)))</f>
        <v>1.1115486328624697</v>
      </c>
      <c r="E36" s="41">
        <f>DEGREES(ATAN(TAN(RADIANS(F$1))/COS(RADIANS(A36))))</f>
        <v>25.888458755494607</v>
      </c>
      <c r="F36" s="16" t="str">
        <f>IF(E36&lt;0,"-","+")&amp;TEXT(INT(ABS(E36)),"0")&amp;CHAR(176)&amp;TEXT(60*(ABS(E36)-INT(ABS(E36)))," 00")&amp;"'"</f>
        <v>+25° 53'</v>
      </c>
      <c r="G36" s="29">
        <f>(1+(TAN(RADIANS(F$1))/COS(RADIANS(A36)))^2)^-1*TAN(RADIANS(F$1))*(TAN(RADIANS(A36))/COS(RADIANS(A36)))</f>
        <v>0.21773472784970715</v>
      </c>
      <c r="H36" s="30">
        <f>90-A36</f>
        <v>61</v>
      </c>
      <c r="I36" s="31">
        <f>DEGREES(ASIN(SIN(RADIANS(A36))*SIN(RADIANS(90-E36))/SIN(RADIANS(B36))))</f>
        <v>77.7793028954223</v>
      </c>
      <c r="K36" s="24">
        <v>74</v>
      </c>
      <c r="L36" s="41">
        <f>DEGREES(ASIN(COS(RADIANS(F$1))*SIN(RADIANS(K36))))</f>
        <v>62.232582918281174</v>
      </c>
      <c r="M36" s="16" t="str">
        <f>IF(L36&lt;0,"-","+")&amp;TEXT(INT(ABS(L36)),"0")&amp;CHAR(176)&amp;TEXT(60*(ABS(L36)-INT(ABS(L36)))," 00")&amp;"'"</f>
        <v>+62° 14'</v>
      </c>
      <c r="N36" s="29">
        <f>1/((1-(COS(RADIANS(F$1))*SIN(RADIANS(K36)))^2)^-0.5*COS(RADIANS(F$1))*COS(RADIANS(K36)))</f>
        <v>1.8361712890762736</v>
      </c>
      <c r="O36" s="41">
        <f>DEGREES(ATAN(TAN(RADIANS(F$1))/COS(RADIANS(K36))))</f>
        <v>57.001881100179325</v>
      </c>
      <c r="P36" s="16" t="str">
        <f>IF(O36&lt;0,"-","+")&amp;TEXT(INT(ABS(O36)),"0")&amp;CHAR(176)&amp;TEXT(60*(ABS(O36)-INT(ABS(O36)))," 00")&amp;"'"</f>
        <v>+57° 00'</v>
      </c>
      <c r="Q36" s="29">
        <f>(1+(TAN(RADIANS(F$1))/COS(RADIANS(K36)))^2)^-1*TAN(RADIANS(F$1))*(TAN(RADIANS(K36))/COS(RADIANS(K36)))</f>
        <v>1.5929092386189365</v>
      </c>
      <c r="R36" s="30">
        <f>90-K36</f>
        <v>16</v>
      </c>
      <c r="S36" s="31">
        <f>DEGREES(ASIN(SIN(RADIANS(K36))*SIN(RADIANS(90-O36))/SIN(RADIANS(L36))))</f>
        <v>36.2737836282665</v>
      </c>
    </row>
    <row r="37" spans="1:19" ht="12.75">
      <c r="A37" s="24">
        <v>30</v>
      </c>
      <c r="B37" s="41">
        <f>DEGREES(ASIN(COS(RADIANS(F$1))*SIN(RADIANS(A37))))</f>
        <v>27.40339733634673</v>
      </c>
      <c r="C37" s="24" t="str">
        <f>IF(B37&lt;0,"-","+")&amp;TEXT(INT(ABS(B37)),"0")&amp;CHAR(176)&amp;TEXT(60*(ABS(B37)-INT(ABS(B37)))," 00")&amp;"'"</f>
        <v>+27° 24'</v>
      </c>
      <c r="D37" s="29">
        <f>1/((1-(COS(RADIANS(F$1))*SIN(RADIANS(A37)))^2)^-0.5*COS(RADIANS(F$1))*COS(RADIANS(A37)))</f>
        <v>1.1136599538435883</v>
      </c>
      <c r="E37" s="41">
        <f>DEGREES(ATAN(TAN(RADIANS(F$1))/COS(RADIANS(A37))))</f>
        <v>26.111382009425434</v>
      </c>
      <c r="F37" s="16" t="str">
        <f>IF(E37&lt;0,"-","+")&amp;TEXT(INT(ABS(E37)),"0")&amp;CHAR(176)&amp;TEXT(60*(ABS(E37)-INT(ABS(E37)))," 00")&amp;"'"</f>
        <v>+26° 07'</v>
      </c>
      <c r="G37" s="29">
        <f>(1+(TAN(RADIANS(F$1))/COS(RADIANS(A37)))^2)^-1*TAN(RADIANS(F$1))*(TAN(RADIANS(A37))/COS(RADIANS(A37)))</f>
        <v>0.22816838249286592</v>
      </c>
      <c r="H37" s="30">
        <f>90-A37</f>
        <v>60</v>
      </c>
      <c r="I37" s="31">
        <f>DEGREES(ASIN(SIN(RADIANS(A37))*SIN(RADIANS(90-E37))/SIN(RADIANS(B37))))</f>
        <v>77.28751462373505</v>
      </c>
      <c r="K37" s="24">
        <v>75</v>
      </c>
      <c r="L37" s="41">
        <f>DEGREES(ASIN(COS(RADIANS(F$1))*SIN(RADIANS(K37))))</f>
        <v>62.765304113292764</v>
      </c>
      <c r="M37" s="16" t="str">
        <f>IF(L37&lt;0,"-","+")&amp;TEXT(INT(ABS(L37)),"0")&amp;CHAR(176)&amp;TEXT(60*(ABS(L37)-INT(ABS(L37)))," 00")&amp;"'"</f>
        <v>+62° 46'</v>
      </c>
      <c r="N37" s="29">
        <f>1/((1-(COS(RADIANS(F$1))*SIN(RADIANS(K37)))^2)^-0.5*COS(RADIANS(F$1))*COS(RADIANS(K37)))</f>
        <v>1.9208713603812855</v>
      </c>
      <c r="O37" s="41">
        <f>DEGREES(ATAN(TAN(RADIANS(F$1))/COS(RADIANS(K37))))</f>
        <v>58.62768977394185</v>
      </c>
      <c r="P37" s="16" t="str">
        <f>IF(O37&lt;0,"-","+")&amp;TEXT(INT(ABS(O37)),"0")&amp;CHAR(176)&amp;TEXT(60*(ABS(O37)-INT(ABS(O37)))," 00")&amp;"'"</f>
        <v>+58° 38'</v>
      </c>
      <c r="Q37" s="29">
        <f>(1+(TAN(RADIANS(F$1))/COS(RADIANS(K37)))^2)^-1*TAN(RADIANS(F$1))*(TAN(RADIANS(K37))/COS(RADIANS(K37)))</f>
        <v>1.6588483423720475</v>
      </c>
      <c r="R37" s="30">
        <f>90-K37</f>
        <v>15</v>
      </c>
      <c r="S37" s="31">
        <f>DEGREES(ASIN(SIN(RADIANS(K37))*SIN(RADIANS(90-O37))/SIN(RADIANS(L37))))</f>
        <v>34.44091181766889</v>
      </c>
    </row>
    <row r="38" spans="1:19" ht="12.75">
      <c r="A38" s="24">
        <v>31</v>
      </c>
      <c r="B38" s="41">
        <f>DEGREES(ASIN(COS(RADIANS(F$1))*SIN(RADIANS(A38))))</f>
        <v>28.30044501417761</v>
      </c>
      <c r="C38" s="24" t="str">
        <f>IF(B38&lt;0,"-","+")&amp;TEXT(INT(ABS(B38)),"0")&amp;CHAR(176)&amp;TEXT(60*(ABS(B38)-INT(ABS(B38)))," 00")&amp;"'"</f>
        <v>+28° 18'</v>
      </c>
      <c r="D38" s="29">
        <f>1/((1-(COS(RADIANS(F$1))*SIN(RADIANS(A38)))^2)^-0.5*COS(RADIANS(F$1))*COS(RADIANS(A38)))</f>
        <v>1.1158985054830257</v>
      </c>
      <c r="E38" s="41">
        <f>DEGREES(ATAN(TAN(RADIANS(F$1))/COS(RADIANS(A38))))</f>
        <v>26.344912164543892</v>
      </c>
      <c r="F38" s="16" t="str">
        <f>IF(E38&lt;0,"-","+")&amp;TEXT(INT(ABS(E38)),"0")&amp;CHAR(176)&amp;TEXT(60*(ABS(E38)-INT(ABS(E38)))," 00")&amp;"'"</f>
        <v>+26° 21'</v>
      </c>
      <c r="G38" s="29">
        <f>(1+(TAN(RADIANS(F$1))/COS(RADIANS(A38)))^2)^-1*TAN(RADIANS(F$1))*(TAN(RADIANS(A38))/COS(RADIANS(A38)))</f>
        <v>0.23895200711021616</v>
      </c>
      <c r="H38" s="30">
        <f>90-A38</f>
        <v>59</v>
      </c>
      <c r="I38" s="31">
        <f>DEGREES(ASIN(SIN(RADIANS(A38))*SIN(RADIANS(90-E38))/SIN(RADIANS(B38))))</f>
        <v>76.78766913133913</v>
      </c>
      <c r="K38" s="24">
        <v>76</v>
      </c>
      <c r="L38" s="41">
        <f>DEGREES(ASIN(COS(RADIANS(F$1))*SIN(RADIANS(K38))))</f>
        <v>63.273302286617806</v>
      </c>
      <c r="M38" s="16" t="str">
        <f>IF(L38&lt;0,"-","+")&amp;TEXT(INT(ABS(L38)),"0")&amp;CHAR(176)&amp;TEXT(60*(ABS(L38)-INT(ABS(L38)))," 00")&amp;"'"</f>
        <v>+63° 16'</v>
      </c>
      <c r="N38" s="29">
        <f>1/((1-(COS(RADIANS(F$1))*SIN(RADIANS(K38)))^2)^-0.5*COS(RADIANS(F$1))*COS(RADIANS(K38)))</f>
        <v>2.019554826292477</v>
      </c>
      <c r="O38" s="41">
        <f>DEGREES(ATAN(TAN(RADIANS(F$1))/COS(RADIANS(K38))))</f>
        <v>60.31978891053826</v>
      </c>
      <c r="P38" s="16" t="str">
        <f>IF(O38&lt;0,"-","+")&amp;TEXT(INT(ABS(O38)),"0")&amp;CHAR(176)&amp;TEXT(60*(ABS(O38)-INT(ABS(O38)))," 00")&amp;"'"</f>
        <v>+60° 19'</v>
      </c>
      <c r="Q38" s="29">
        <f>(1+(TAN(RADIANS(F$1))/COS(RADIANS(K38)))^2)^-1*TAN(RADIANS(F$1))*(TAN(RADIANS(K38))/COS(RADIANS(K38)))</f>
        <v>1.7254182938638962</v>
      </c>
      <c r="R38" s="30">
        <f>90-K38</f>
        <v>14</v>
      </c>
      <c r="S38" s="31">
        <f>DEGREES(ASIN(SIN(RADIANS(K38))*SIN(RADIANS(90-O38))/SIN(RADIANS(L38))))</f>
        <v>32.542204816127345</v>
      </c>
    </row>
    <row r="39" spans="1:19" ht="12.75">
      <c r="A39" s="24">
        <v>32</v>
      </c>
      <c r="B39" s="41">
        <f>DEGREES(ASIN(COS(RADIANS(F$1))*SIN(RADIANS(A39))))</f>
        <v>29.19564151791328</v>
      </c>
      <c r="C39" s="24" t="str">
        <f>IF(B39&lt;0,"-","+")&amp;TEXT(INT(ABS(B39)),"0")&amp;CHAR(176)&amp;TEXT(60*(ABS(B39)-INT(ABS(B39)))," 00")&amp;"'"</f>
        <v>+29° 12'</v>
      </c>
      <c r="D39" s="29">
        <f>1/((1-(COS(RADIANS(F$1))*SIN(RADIANS(A39)))^2)^-0.5*COS(RADIANS(F$1))*COS(RADIANS(A39)))</f>
        <v>1.1182717999556406</v>
      </c>
      <c r="E39" s="41">
        <f>DEGREES(ATAN(TAN(RADIANS(F$1))/COS(RADIANS(A39))))</f>
        <v>26.589409814263853</v>
      </c>
      <c r="F39" s="16" t="str">
        <f>IF(E39&lt;0,"-","+")&amp;TEXT(INT(ABS(E39)),"0")&amp;CHAR(176)&amp;TEXT(60*(ABS(E39)-INT(ABS(E39)))," 00")&amp;"'"</f>
        <v>+26° 35'</v>
      </c>
      <c r="G39" s="29">
        <f>(1+(TAN(RADIANS(F$1))/COS(RADIANS(A39)))^2)^-1*TAN(RADIANS(F$1))*(TAN(RADIANS(A39))/COS(RADIANS(A39)))</f>
        <v>0.25010704397354133</v>
      </c>
      <c r="H39" s="30">
        <f>90-A39</f>
        <v>58</v>
      </c>
      <c r="I39" s="31">
        <f>DEGREES(ASIN(SIN(RADIANS(A39))*SIN(RADIANS(90-E39))/SIN(RADIANS(B39))))</f>
        <v>76.27933256993968</v>
      </c>
      <c r="K39" s="24">
        <v>77</v>
      </c>
      <c r="L39" s="41">
        <f>DEGREES(ASIN(COS(RADIANS(F$1))*SIN(RADIANS(K39))))</f>
        <v>63.75513456922263</v>
      </c>
      <c r="M39" s="16" t="str">
        <f>IF(L39&lt;0,"-","+")&amp;TEXT(INT(ABS(L39)),"0")&amp;CHAR(176)&amp;TEXT(60*(ABS(L39)-INT(ABS(L39)))," 00")&amp;"'"</f>
        <v>+63° 45'</v>
      </c>
      <c r="N39" s="29">
        <f>1/((1-(COS(RADIANS(F$1))*SIN(RADIANS(K39)))^2)^-0.5*COS(RADIANS(F$1))*COS(RADIANS(K39)))</f>
        <v>2.135564971901734</v>
      </c>
      <c r="O39" s="41">
        <f>DEGREES(ATAN(TAN(RADIANS(F$1))/COS(RADIANS(K39))))</f>
        <v>62.07858095816089</v>
      </c>
      <c r="P39" s="16" t="str">
        <f>IF(O39&lt;0,"-","+")&amp;TEXT(INT(ABS(O39)),"0")&amp;CHAR(176)&amp;TEXT(60*(ABS(O39)-INT(ABS(O39)))," 00")&amp;"'"</f>
        <v>+62° 05'</v>
      </c>
      <c r="Q39" s="29">
        <f>(1+(TAN(RADIANS(F$1))/COS(RADIANS(K39)))^2)^-1*TAN(RADIANS(F$1))*(TAN(RADIANS(K39))/COS(RADIANS(K39)))</f>
        <v>1.792149428293809</v>
      </c>
      <c r="R39" s="30">
        <f>90-K39</f>
        <v>13</v>
      </c>
      <c r="S39" s="31">
        <f>DEGREES(ASIN(SIN(RADIANS(K39))*SIN(RADIANS(90-O39))/SIN(RADIANS(L39))))</f>
        <v>30.57722864624429</v>
      </c>
    </row>
    <row r="40" spans="1:19" ht="12.75">
      <c r="A40" s="24">
        <v>33</v>
      </c>
      <c r="B40" s="41">
        <f>DEGREES(ASIN(COS(RADIANS(F$1))*SIN(RADIANS(A40))))</f>
        <v>30.08888374226827</v>
      </c>
      <c r="C40" s="24" t="str">
        <f>IF(B40&lt;0,"-","+")&amp;TEXT(INT(ABS(B40)),"0")&amp;CHAR(176)&amp;TEXT(60*(ABS(B40)-INT(ABS(B40)))," 00")&amp;"'"</f>
        <v>+30° 05'</v>
      </c>
      <c r="D40" s="29">
        <f>1/((1-(COS(RADIANS(F$1))*SIN(RADIANS(A40)))^2)^-0.5*COS(RADIANS(F$1))*COS(RADIANS(A40)))</f>
        <v>1.1207880014923277</v>
      </c>
      <c r="E40" s="41">
        <f>DEGREES(ATAN(TAN(RADIANS(F$1))/COS(RADIANS(A40))))</f>
        <v>26.84525759370909</v>
      </c>
      <c r="F40" s="16" t="str">
        <f>IF(E40&lt;0,"-","+")&amp;TEXT(INT(ABS(E40)),"0")&amp;CHAR(176)&amp;TEXT(60*(ABS(E40)-INT(ABS(E40)))," 00")&amp;"'"</f>
        <v>+26° 51'</v>
      </c>
      <c r="G40" s="29">
        <f>(1+(TAN(RADIANS(F$1))/COS(RADIANS(A40)))^2)^-1*TAN(RADIANS(F$1))*(TAN(RADIANS(A40))/COS(RADIANS(A40)))</f>
        <v>0.26165614763806977</v>
      </c>
      <c r="H40" s="30">
        <f>90-A40</f>
        <v>57</v>
      </c>
      <c r="I40" s="31">
        <f>DEGREES(ASIN(SIN(RADIANS(A40))*SIN(RADIANS(90-E40))/SIN(RADIANS(B40))))</f>
        <v>75.76205104809615</v>
      </c>
      <c r="K40" s="24">
        <v>78</v>
      </c>
      <c r="L40" s="41">
        <f>DEGREES(ASIN(COS(RADIANS(F$1))*SIN(RADIANS(K40))))</f>
        <v>64.20932759150975</v>
      </c>
      <c r="M40" s="16" t="str">
        <f>IF(L40&lt;0,"-","+")&amp;TEXT(INT(ABS(L40)),"0")&amp;CHAR(176)&amp;TEXT(60*(ABS(L40)-INT(ABS(L40)))," 00")&amp;"'"</f>
        <v>+64° 13'</v>
      </c>
      <c r="N40" s="29">
        <f>1/((1-(COS(RADIANS(F$1))*SIN(RADIANS(K40)))^2)^-0.5*COS(RADIANS(F$1))*COS(RADIANS(K40)))</f>
        <v>2.27336224386238</v>
      </c>
      <c r="O40" s="41">
        <f>DEGREES(ATAN(TAN(RADIANS(F$1))/COS(RADIANS(K40))))</f>
        <v>63.90395985140963</v>
      </c>
      <c r="P40" s="16" t="str">
        <f>IF(O40&lt;0,"-","+")&amp;TEXT(INT(ABS(O40)),"0")&amp;CHAR(176)&amp;TEXT(60*(ABS(O40)-INT(ABS(O40)))," 00")&amp;"'"</f>
        <v>+63° 54'</v>
      </c>
      <c r="Q40" s="29">
        <f>(1+(TAN(RADIANS(F$1))/COS(RADIANS(K40)))^2)^-1*TAN(RADIANS(F$1))*(TAN(RADIANS(K40))/COS(RADIANS(K40)))</f>
        <v>1.8584942276306413</v>
      </c>
      <c r="R40" s="30">
        <f>90-K40</f>
        <v>12</v>
      </c>
      <c r="S40" s="31">
        <f>DEGREES(ASIN(SIN(RADIANS(K40))*SIN(RADIANS(90-O40))/SIN(RADIANS(L40))))</f>
        <v>28.546058091274325</v>
      </c>
    </row>
    <row r="41" spans="1:19" ht="12.75">
      <c r="A41" s="24">
        <v>34</v>
      </c>
      <c r="B41" s="41">
        <f>DEGREES(ASIN(COS(RADIANS(F$1))*SIN(RADIANS(A41))))</f>
        <v>30.980063217431212</v>
      </c>
      <c r="C41" s="24" t="str">
        <f>IF(B41&lt;0,"-","+")&amp;TEXT(INT(ABS(B41)),"0")&amp;CHAR(176)&amp;TEXT(60*(ABS(B41)-INT(ABS(B41)))," 00")&amp;"'"</f>
        <v>+30° 59'</v>
      </c>
      <c r="D41" s="29">
        <f>1/((1-(COS(RADIANS(F$1))*SIN(RADIANS(A41)))^2)^-0.5*COS(RADIANS(F$1))*COS(RADIANS(A41)))</f>
        <v>1.1234559900109553</v>
      </c>
      <c r="E41" s="41">
        <f>DEGREES(ATAN(TAN(RADIANS(F$1))/COS(RADIANS(A41))))</f>
        <v>27.112861432954617</v>
      </c>
      <c r="F41" s="16" t="str">
        <f>IF(E41&lt;0,"-","+")&amp;TEXT(INT(ABS(E41)),"0")&amp;CHAR(176)&amp;TEXT(60*(ABS(E41)-INT(ABS(E41)))," 00")&amp;"'"</f>
        <v>+27° 07'</v>
      </c>
      <c r="G41" s="29">
        <f>(1+(TAN(RADIANS(F$1))/COS(RADIANS(A41)))^2)^-1*TAN(RADIANS(F$1))*(TAN(RADIANS(A41))/COS(RADIANS(A41)))</f>
        <v>0.2736232675972298</v>
      </c>
      <c r="H41" s="30">
        <f>90-A41</f>
        <v>56</v>
      </c>
      <c r="I41" s="31">
        <f>DEGREES(ASIN(SIN(RADIANS(A41))*SIN(RADIANS(90-E41))/SIN(RADIANS(B41))))</f>
        <v>75.23534929866881</v>
      </c>
      <c r="K41" s="24">
        <v>79</v>
      </c>
      <c r="L41" s="41">
        <f>DEGREES(ASIN(COS(RADIANS(F$1))*SIN(RADIANS(K41))))</f>
        <v>64.63439021594365</v>
      </c>
      <c r="M41" s="16" t="str">
        <f>IF(L41&lt;0,"-","+")&amp;TEXT(INT(ABS(L41)),"0")&amp;CHAR(176)&amp;TEXT(60*(ABS(L41)-INT(ABS(L41)))," 00")&amp;"'"</f>
        <v>+64° 38'</v>
      </c>
      <c r="N41" s="29">
        <f>1/((1-(COS(RADIANS(F$1))*SIN(RADIANS(K41)))^2)^-0.5*COS(RADIANS(F$1))*COS(RADIANS(K41)))</f>
        <v>2.4390308309864452</v>
      </c>
      <c r="O41" s="41">
        <f>DEGREES(ATAN(TAN(RADIANS(F$1))/COS(RADIANS(K41))))</f>
        <v>65.79523321115467</v>
      </c>
      <c r="P41" s="16" t="str">
        <f>IF(O41&lt;0,"-","+")&amp;TEXT(INT(ABS(O41)),"0")&amp;CHAR(176)&amp;TEXT(60*(ABS(O41)-INT(ABS(O41)))," 00")&amp;"'"</f>
        <v>+65° 48'</v>
      </c>
      <c r="Q41" s="29">
        <f>(1+(TAN(RADIANS(F$1))/COS(RADIANS(K41)))^2)^-1*TAN(RADIANS(F$1))*(TAN(RADIANS(K41))/COS(RADIANS(K41)))</f>
        <v>1.9238279733344055</v>
      </c>
      <c r="R41" s="30">
        <f>90-K41</f>
        <v>11</v>
      </c>
      <c r="S41" s="31">
        <f>DEGREES(ASIN(SIN(RADIANS(K41))*SIN(RADIANS(90-O41))/SIN(RADIANS(L41))))</f>
        <v>26.449354476393918</v>
      </c>
    </row>
    <row r="42" spans="1:19" ht="12.75">
      <c r="A42" s="24">
        <v>35</v>
      </c>
      <c r="B42" s="41">
        <f>DEGREES(ASIN(COS(RADIANS(F$1))*SIN(RADIANS(A42))))</f>
        <v>31.869065710064508</v>
      </c>
      <c r="C42" s="24" t="str">
        <f>IF(B42&lt;0,"-","+")&amp;TEXT(INT(ABS(B42)),"0")&amp;CHAR(176)&amp;TEXT(60*(ABS(B42)-INT(ABS(B42)))," 00")&amp;"'"</f>
        <v>+31° 52'</v>
      </c>
      <c r="D42" s="29">
        <f>1/((1-(COS(RADIANS(F$1))*SIN(RADIANS(A42)))^2)^-0.5*COS(RADIANS(F$1))*COS(RADIANS(A42)))</f>
        <v>1.1262854323212306</v>
      </c>
      <c r="E42" s="41">
        <f>DEGREES(ATAN(TAN(RADIANS(F$1))/COS(RADIANS(A42))))</f>
        <v>27.392651895150944</v>
      </c>
      <c r="F42" s="16" t="str">
        <f>IF(E42&lt;0,"-","+")&amp;TEXT(INT(ABS(E42)),"0")&amp;CHAR(176)&amp;TEXT(60*(ABS(E42)-INT(ABS(E42)))," 00")&amp;"'"</f>
        <v>+27° 24'</v>
      </c>
      <c r="G42" s="29">
        <f>(1+(TAN(RADIANS(F$1))/COS(RADIANS(A42)))^2)^-1*TAN(RADIANS(F$1))*(TAN(RADIANS(A42))/COS(RADIANS(A42)))</f>
        <v>0.2860337354032706</v>
      </c>
      <c r="H42" s="30">
        <f>90-A42</f>
        <v>55</v>
      </c>
      <c r="I42" s="31">
        <f>DEGREES(ASIN(SIN(RADIANS(A42))*SIN(RADIANS(90-E42))/SIN(RADIANS(B42))))</f>
        <v>74.69872926474987</v>
      </c>
      <c r="K42" s="24">
        <v>80</v>
      </c>
      <c r="L42" s="41">
        <f>DEGREES(ASIN(COS(RADIANS(F$1))*SIN(RADIANS(K42))))</f>
        <v>65.02882887086469</v>
      </c>
      <c r="M42" s="16" t="str">
        <f>IF(L42&lt;0,"-","+")&amp;TEXT(INT(ABS(L42)),"0")&amp;CHAR(176)&amp;TEXT(60*(ABS(L42)-INT(ABS(L42)))," 00")&amp;"'"</f>
        <v>+65° 02'</v>
      </c>
      <c r="N42" s="29">
        <f>1/((1-(COS(RADIANS(F$1))*SIN(RADIANS(K42)))^2)^-0.5*COS(RADIANS(F$1))*COS(RADIANS(K42)))</f>
        <v>2.641088918727313</v>
      </c>
      <c r="O42" s="41">
        <f>DEGREES(ATAN(TAN(RADIANS(F$1))/COS(RADIANS(K42))))</f>
        <v>67.75104696712538</v>
      </c>
      <c r="P42" s="16" t="str">
        <f>IF(O42&lt;0,"-","+")&amp;TEXT(INT(ABS(O42)),"0")&amp;CHAR(176)&amp;TEXT(60*(ABS(O42)-INT(ABS(O42)))," 00")&amp;"'"</f>
        <v>+67° 45'</v>
      </c>
      <c r="Q42" s="29">
        <f>(1+(TAN(RADIANS(F$1))/COS(RADIANS(K42)))^2)^-1*TAN(RADIANS(F$1))*(TAN(RADIANS(K42))/COS(RADIANS(K42)))</f>
        <v>1.987453067395778</v>
      </c>
      <c r="R42" s="30">
        <f>90-K42</f>
        <v>10</v>
      </c>
      <c r="S42" s="31">
        <f>DEGREES(ASIN(SIN(RADIANS(K42))*SIN(RADIANS(90-O42))/SIN(RADIANS(L42))))</f>
        <v>24.288441027521696</v>
      </c>
    </row>
    <row r="43" spans="1:19" ht="12.75">
      <c r="A43" s="24">
        <v>36</v>
      </c>
      <c r="B43" s="41">
        <f>DEGREES(ASIN(COS(RADIANS(F$1))*SIN(RADIANS(A43))))</f>
        <v>32.75577079342196</v>
      </c>
      <c r="C43" s="24" t="str">
        <f>IF(B43&lt;0,"-","+")&amp;TEXT(INT(ABS(B43)),"0")&amp;CHAR(176)&amp;TEXT(60*(ABS(B43)-INT(ABS(B43)))," 00")&amp;"'"</f>
        <v>+32° 45'</v>
      </c>
      <c r="D43" s="29">
        <f>1/((1-(COS(RADIANS(F$1))*SIN(RADIANS(A43)))^2)^-0.5*COS(RADIANS(F$1))*COS(RADIANS(A43)))</f>
        <v>1.1292868619287213</v>
      </c>
      <c r="E43" s="41">
        <f>DEGREES(ATAN(TAN(RADIANS(F$1))/COS(RADIANS(A43))))</f>
        <v>27.685085604015775</v>
      </c>
      <c r="F43" s="16" t="str">
        <f>IF(E43&lt;0,"-","+")&amp;TEXT(INT(ABS(E43)),"0")&amp;CHAR(176)&amp;TEXT(60*(ABS(E43)-INT(ABS(E43)))," 00")&amp;"'"</f>
        <v>+27° 41'</v>
      </c>
      <c r="G43" s="29">
        <f>(1+(TAN(RADIANS(F$1))/COS(RADIANS(A43)))^2)^-1*TAN(RADIANS(F$1))*(TAN(RADIANS(A43))/COS(RADIANS(A43)))</f>
        <v>0.2989143562804556</v>
      </c>
      <c r="H43" s="30">
        <f>90-A43</f>
        <v>54</v>
      </c>
      <c r="I43" s="31">
        <f>DEGREES(ASIN(SIN(RADIANS(A43))*SIN(RADIANS(90-E43))/SIN(RADIANS(B43))))</f>
        <v>74.15166859942194</v>
      </c>
      <c r="K43" s="24">
        <v>81</v>
      </c>
      <c r="L43" s="41">
        <f>DEGREES(ASIN(COS(RADIANS(F$1))*SIN(RADIANS(K43))))</f>
        <v>65.39116546917538</v>
      </c>
      <c r="M43" s="16" t="str">
        <f>IF(L43&lt;0,"-","+")&amp;TEXT(INT(ABS(L43)),"0")&amp;CHAR(176)&amp;TEXT(60*(ABS(L43)-INT(ABS(L43)))," 00")&amp;"'"</f>
        <v>+65° 23'</v>
      </c>
      <c r="N43" s="29">
        <f>1/((1-(COS(RADIANS(F$1))*SIN(RADIANS(K43)))^2)^-0.5*COS(RADIANS(F$1))*COS(RADIANS(K43)))</f>
        <v>2.8918388102201926</v>
      </c>
      <c r="O43" s="41">
        <f>DEGREES(ATAN(TAN(RADIANS(F$1))/COS(RADIANS(K43))))</f>
        <v>69.76931644087206</v>
      </c>
      <c r="P43" s="16" t="str">
        <f>IF(O43&lt;0,"-","+")&amp;TEXT(INT(ABS(O43)),"0")&amp;CHAR(176)&amp;TEXT(60*(ABS(O43)-INT(ABS(O43)))," 00")&amp;"'"</f>
        <v>+69° 46'</v>
      </c>
      <c r="Q43" s="29">
        <f>(1+(TAN(RADIANS(F$1))/COS(RADIANS(K43)))^2)^-1*TAN(RADIANS(F$1))*(TAN(RADIANS(K43))/COS(RADIANS(K43)))</f>
        <v>2.0486077411588237</v>
      </c>
      <c r="R43" s="30">
        <f>90-K43</f>
        <v>9</v>
      </c>
      <c r="S43" s="31">
        <f>DEGREES(ASIN(SIN(RADIANS(K43))*SIN(RADIANS(90-O43))/SIN(RADIANS(L43))))</f>
        <v>22.065371770018956</v>
      </c>
    </row>
    <row r="44" spans="1:19" ht="12.75">
      <c r="A44" s="24">
        <v>37</v>
      </c>
      <c r="B44" s="41">
        <f>DEGREES(ASIN(COS(RADIANS(F$1))*SIN(RADIANS(A44))))</f>
        <v>33.640051383873754</v>
      </c>
      <c r="C44" s="24" t="str">
        <f>IF(B44&lt;0,"-","+")&amp;TEXT(INT(ABS(B44)),"0")&amp;CHAR(176)&amp;TEXT(60*(ABS(B44)-INT(ABS(B44)))," 00")&amp;"'"</f>
        <v>+33° 38'</v>
      </c>
      <c r="D44" s="29">
        <f>1/((1-(COS(RADIANS(F$1))*SIN(RADIANS(A44)))^2)^-0.5*COS(RADIANS(F$1))*COS(RADIANS(A44)))</f>
        <v>1.1324717686226782</v>
      </c>
      <c r="E44" s="41">
        <f>DEGREES(ATAN(TAN(RADIANS(F$1))/COS(RADIANS(A44))))</f>
        <v>27.99064676517029</v>
      </c>
      <c r="F44" s="16" t="str">
        <f>IF(E44&lt;0,"-","+")&amp;TEXT(INT(ABS(E44)),"0")&amp;CHAR(176)&amp;TEXT(60*(ABS(E44)-INT(ABS(E44)))," 00")&amp;"'"</f>
        <v>+27° 59'</v>
      </c>
      <c r="G44" s="29">
        <f>(1+(TAN(RADIANS(F$1))/COS(RADIANS(A44)))^2)^-1*TAN(RADIANS(F$1))*(TAN(RADIANS(A44))/COS(RADIANS(A44)))</f>
        <v>0.31229350518704824</v>
      </c>
      <c r="H44" s="30">
        <f>90-A44</f>
        <v>53</v>
      </c>
      <c r="I44" s="31">
        <f>DEGREES(ASIN(SIN(RADIANS(A44))*SIN(RADIANS(90-E44))/SIN(RADIANS(B44))))</f>
        <v>73.59361907470596</v>
      </c>
      <c r="K44" s="24">
        <v>82</v>
      </c>
      <c r="L44" s="41">
        <f>DEGREES(ASIN(COS(RADIANS(F$1))*SIN(RADIANS(K44))))</f>
        <v>65.71995774949413</v>
      </c>
      <c r="M44" s="16" t="str">
        <f>IF(L44&lt;0,"-","+")&amp;TEXT(INT(ABS(L44)),"0")&amp;CHAR(176)&amp;TEXT(60*(ABS(L44)-INT(ABS(L44)))," 00")&amp;"'"</f>
        <v>+65° 43'</v>
      </c>
      <c r="N44" s="29">
        <f>1/((1-(COS(RADIANS(F$1))*SIN(RADIANS(K44)))^2)^-0.5*COS(RADIANS(F$1))*COS(RADIANS(K44)))</f>
        <v>3.209729318496066</v>
      </c>
      <c r="O44" s="41">
        <f>DEGREES(ATAN(TAN(RADIANS(F$1))/COS(RADIANS(K44))))</f>
        <v>71.84716856965863</v>
      </c>
      <c r="P44" s="16" t="str">
        <f>IF(O44&lt;0,"-","+")&amp;TEXT(INT(ABS(O44)),"0")&amp;CHAR(176)&amp;TEXT(60*(ABS(O44)-INT(ABS(O44)))," 00")&amp;"'"</f>
        <v>+71° 51'</v>
      </c>
      <c r="Q44" s="29">
        <f>(1+(TAN(RADIANS(F$1))/COS(RADIANS(K44)))^2)^-1*TAN(RADIANS(F$1))*(TAN(RADIANS(K44))/COS(RADIANS(K44)))</f>
        <v>2.106479698721327</v>
      </c>
      <c r="R44" s="30">
        <f>90-K44</f>
        <v>8</v>
      </c>
      <c r="S44" s="31">
        <f>DEGREES(ASIN(SIN(RADIANS(K44))*SIN(RADIANS(90-O44))/SIN(RADIANS(L44))))</f>
        <v>19.7829892866897</v>
      </c>
    </row>
    <row r="45" spans="1:19" ht="12.75">
      <c r="A45" s="24">
        <v>38</v>
      </c>
      <c r="B45" s="41">
        <f>DEGREES(ASIN(COS(RADIANS(F$1))*SIN(RADIANS(A45))))</f>
        <v>34.52177324089867</v>
      </c>
      <c r="C45" s="24" t="str">
        <f>IF(B45&lt;0,"-","+")&amp;TEXT(INT(ABS(B45)),"0")&amp;CHAR(176)&amp;TEXT(60*(ABS(B45)-INT(ABS(B45)))," 00")&amp;"'"</f>
        <v>+34° 31'</v>
      </c>
      <c r="D45" s="29">
        <f>1/((1-(COS(RADIANS(F$1))*SIN(RADIANS(A45)))^2)^-0.5*COS(RADIANS(F$1))*COS(RADIANS(A45)))</f>
        <v>1.135852699219588</v>
      </c>
      <c r="E45" s="41">
        <f>DEGREES(ATAN(TAN(RADIANS(F$1))/COS(RADIANS(A45))))</f>
        <v>28.309848785710034</v>
      </c>
      <c r="F45" s="16" t="str">
        <f>IF(E45&lt;0,"-","+")&amp;TEXT(INT(ABS(E45)),"0")&amp;CHAR(176)&amp;TEXT(60*(ABS(E45)-INT(ABS(E45)))," 00")&amp;"'"</f>
        <v>+28° 19'</v>
      </c>
      <c r="G45" s="29">
        <f>(1+(TAN(RADIANS(F$1))/COS(RADIANS(A45)))^2)^-1*TAN(RADIANS(F$1))*(TAN(RADIANS(A45))/COS(RADIANS(A45)))</f>
        <v>0.32620122719105027</v>
      </c>
      <c r="H45" s="30">
        <f>90-A45</f>
        <v>52</v>
      </c>
      <c r="I45" s="31">
        <f>DEGREES(ASIN(SIN(RADIANS(A45))*SIN(RADIANS(90-E45))/SIN(RADIANS(B45))))</f>
        <v>73.02400489515409</v>
      </c>
      <c r="K45" s="24">
        <v>83</v>
      </c>
      <c r="L45" s="41">
        <f>DEGREES(ASIN(COS(RADIANS(F$1))*SIN(RADIANS(K45))))</f>
        <v>66.01382170328624</v>
      </c>
      <c r="M45" s="16" t="str">
        <f>IF(L45&lt;0,"-","+")&amp;TEXT(INT(ABS(L45)),"0")&amp;CHAR(176)&amp;TEXT(60*(ABS(L45)-INT(ABS(L45)))," 00")&amp;"'"</f>
        <v>+66° 01'</v>
      </c>
      <c r="N45" s="29">
        <f>1/((1-(COS(RADIANS(F$1))*SIN(RADIANS(K45)))^2)^-0.5*COS(RADIANS(F$1))*COS(RADIANS(K45)))</f>
        <v>3.6237427517210388</v>
      </c>
      <c r="O45" s="41">
        <f>DEGREES(ATAN(TAN(RADIANS(F$1))/COS(RADIANS(K45))))</f>
        <v>73.98090036116852</v>
      </c>
      <c r="P45" s="16" t="str">
        <f>IF(O45&lt;0,"-","+")&amp;TEXT(INT(ABS(O45)),"0")&amp;CHAR(176)&amp;TEXT(60*(ABS(O45)-INT(ABS(O45)))," 00")&amp;"'"</f>
        <v>+73° 59'</v>
      </c>
      <c r="Q45" s="29">
        <f>(1+(TAN(RADIANS(F$1))/COS(RADIANS(K45)))^2)^-1*TAN(RADIANS(F$1))*(TAN(RADIANS(K45))/COS(RADIANS(K45)))</f>
        <v>2.160224945502921</v>
      </c>
      <c r="R45" s="30">
        <f>90-K45</f>
        <v>7</v>
      </c>
      <c r="S45" s="31">
        <f>DEGREES(ASIN(SIN(RADIANS(K45))*SIN(RADIANS(90-O45))/SIN(RADIANS(L45))))</f>
        <v>17.444966245175237</v>
      </c>
    </row>
    <row r="46" spans="1:19" ht="12.75">
      <c r="A46" s="24">
        <v>39</v>
      </c>
      <c r="B46" s="41">
        <f>DEGREES(ASIN(COS(RADIANS(F$1))*SIN(RADIANS(A46))))</f>
        <v>35.400794427356885</v>
      </c>
      <c r="C46" s="24" t="str">
        <f>IF(B46&lt;0,"-","+")&amp;TEXT(INT(ABS(B46)),"0")&amp;CHAR(176)&amp;TEXT(60*(ABS(B46)-INT(ABS(B46)))," 00")&amp;"'"</f>
        <v>+35° 24'</v>
      </c>
      <c r="D46" s="29">
        <f>1/((1-(COS(RADIANS(F$1))*SIN(RADIANS(A46)))^2)^-0.5*COS(RADIANS(F$1))*COS(RADIANS(A46)))</f>
        <v>1.1394433710550542</v>
      </c>
      <c r="E46" s="41">
        <f>DEGREES(ATAN(TAN(RADIANS(F$1))/COS(RADIANS(A46))))</f>
        <v>28.643235996209125</v>
      </c>
      <c r="F46" s="16" t="str">
        <f>IF(E46&lt;0,"-","+")&amp;TEXT(INT(ABS(E46)),"0")&amp;CHAR(176)&amp;TEXT(60*(ABS(E46)-INT(ABS(E46)))," 00")&amp;"'"</f>
        <v>+28° 39'</v>
      </c>
      <c r="G46" s="29">
        <f>(1+(TAN(RADIANS(F$1))/COS(RADIANS(A46)))^2)^-1*TAN(RADIANS(F$1))*(TAN(RADIANS(A46))/COS(RADIANS(A46)))</f>
        <v>0.3406693419078039</v>
      </c>
      <c r="H46" s="30">
        <f>90-A46</f>
        <v>51</v>
      </c>
      <c r="I46" s="31">
        <f>DEGREES(ASIN(SIN(RADIANS(A46))*SIN(RADIANS(90-E46))/SIN(RADIANS(B46))))</f>
        <v>72.44222091174326</v>
      </c>
      <c r="K46" s="24">
        <v>84</v>
      </c>
      <c r="L46" s="41">
        <f>DEGREES(ASIN(COS(RADIANS(F$1))*SIN(RADIANS(K46))))</f>
        <v>66.27145555886804</v>
      </c>
      <c r="M46" s="16" t="str">
        <f>IF(L46&lt;0,"-","+")&amp;TEXT(INT(ABS(L46)),"0")&amp;CHAR(176)&amp;TEXT(60*(ABS(L46)-INT(ABS(L46)))," 00")&amp;"'"</f>
        <v>+66° 16'</v>
      </c>
      <c r="N46" s="29">
        <f>1/((1-(COS(RADIANS(F$1))*SIN(RADIANS(K46)))^2)^-0.5*COS(RADIANS(F$1))*COS(RADIANS(K46)))</f>
        <v>4.182168609666101</v>
      </c>
      <c r="O46" s="41">
        <f>DEGREES(ATAN(TAN(RADIANS(F$1))/COS(RADIANS(K46))))</f>
        <v>76.16595871903344</v>
      </c>
      <c r="P46" s="16" t="str">
        <f>IF(O46&lt;0,"-","+")&amp;TEXT(INT(ABS(O46)),"0")&amp;CHAR(176)&amp;TEXT(60*(ABS(O46)-INT(ABS(O46)))," 00")&amp;"'"</f>
        <v>+76° 10'</v>
      </c>
      <c r="Q46" s="29">
        <f>(1+(TAN(RADIANS(F$1))/COS(RADIANS(K46)))^2)^-1*TAN(RADIANS(F$1))*(TAN(RADIANS(K46))/COS(RADIANS(K46)))</f>
        <v>2.2089916319614176</v>
      </c>
      <c r="R46" s="30">
        <f>90-K46</f>
        <v>6</v>
      </c>
      <c r="S46" s="31">
        <f>DEGREES(ASIN(SIN(RADIANS(K46))*SIN(RADIANS(90-O46))/SIN(RADIANS(L46))))</f>
        <v>15.055825554712085</v>
      </c>
    </row>
    <row r="47" spans="1:19" ht="12.75">
      <c r="A47" s="24">
        <v>40</v>
      </c>
      <c r="B47" s="41">
        <f>DEGREES(ASIN(COS(RADIANS(F$1))*SIN(RADIANS(A47))))</f>
        <v>36.276964726594706</v>
      </c>
      <c r="C47" s="24" t="str">
        <f>IF(B47&lt;0,"-","+")&amp;TEXT(INT(ABS(B47)),"0")&amp;CHAR(176)&amp;TEXT(60*(ABS(B47)-INT(ABS(B47)))," 00")&amp;"'"</f>
        <v>+36° 17'</v>
      </c>
      <c r="D47" s="29">
        <f>1/((1-(COS(RADIANS(F$1))*SIN(RADIANS(A47)))^2)^-0.5*COS(RADIANS(F$1))*COS(RADIANS(A47)))</f>
        <v>1.1432588000772683</v>
      </c>
      <c r="E47" s="41">
        <f>DEGREES(ATAN(TAN(RADIANS(F$1))/COS(RADIANS(A47))))</f>
        <v>28.991385479033394</v>
      </c>
      <c r="F47" s="16" t="str">
        <f>IF(E47&lt;0,"-","+")&amp;TEXT(INT(ABS(E47)),"0")&amp;CHAR(176)&amp;TEXT(60*(ABS(E47)-INT(ABS(E47)))," 00")&amp;"'"</f>
        <v>+28° 59'</v>
      </c>
      <c r="G47" s="29">
        <f>(1+(TAN(RADIANS(F$1))/COS(RADIANS(A47)))^2)^-1*TAN(RADIANS(F$1))*(TAN(RADIANS(A47))/COS(RADIANS(A47)))</f>
        <v>0.3557315515993973</v>
      </c>
      <c r="H47" s="30">
        <f>90-A47</f>
        <v>50</v>
      </c>
      <c r="I47" s="31">
        <f>DEGREES(ASIN(SIN(RADIANS(A47))*SIN(RADIANS(90-E47))/SIN(RADIANS(B47))))</f>
        <v>71.84763073205772</v>
      </c>
      <c r="K47" s="24">
        <v>85</v>
      </c>
      <c r="L47" s="41">
        <f>DEGREES(ASIN(COS(RADIANS(F$1))*SIN(RADIANS(K47))))</f>
        <v>66.49166459718165</v>
      </c>
      <c r="M47" s="16" t="str">
        <f>IF(L47&lt;0,"-","+")&amp;TEXT(INT(ABS(L47)),"0")&amp;CHAR(176)&amp;TEXT(60*(ABS(L47)-INT(ABS(L47)))," 00")&amp;"'"</f>
        <v>+66° 29'</v>
      </c>
      <c r="N47" s="29">
        <f>1/((1-(COS(RADIANS(F$1))*SIN(RADIANS(K47)))^2)^-0.5*COS(RADIANS(F$1))*COS(RADIANS(K47)))</f>
        <v>4.9719055401184935</v>
      </c>
      <c r="O47" s="41">
        <f>DEGREES(ATAN(TAN(RADIANS(F$1))/COS(RADIANS(K47))))</f>
        <v>78.39694635465021</v>
      </c>
      <c r="P47" s="16" t="str">
        <f>IF(O47&lt;0,"-","+")&amp;TEXT(INT(ABS(O47)),"0")&amp;CHAR(176)&amp;TEXT(60*(ABS(O47)-INT(ABS(O47)))," 00")&amp;"'"</f>
        <v>+78° 24'</v>
      </c>
      <c r="Q47" s="29">
        <f>(1+(TAN(RADIANS(F$1))/COS(RADIANS(K47)))^2)^-1*TAN(RADIANS(F$1))*(TAN(RADIANS(K47))/COS(RADIANS(K47)))</f>
        <v>2.251948219636654</v>
      </c>
      <c r="R47" s="30">
        <f>90-K47</f>
        <v>5</v>
      </c>
      <c r="S47" s="31">
        <f>DEGREES(ASIN(SIN(RADIANS(K47))*SIN(RADIANS(90-O47))/SIN(RADIANS(L47))))</f>
        <v>12.620934436766152</v>
      </c>
    </row>
    <row r="48" spans="1:19" ht="12.75">
      <c r="A48" s="24">
        <v>41</v>
      </c>
      <c r="B48" s="41">
        <f>DEGREES(ASIN(COS(RADIANS(F$1))*SIN(RADIANS(A48))))</f>
        <v>37.15012501265514</v>
      </c>
      <c r="C48" s="24" t="str">
        <f>IF(B48&lt;0,"-","+")&amp;TEXT(INT(ABS(B48)),"0")&amp;CHAR(176)&amp;TEXT(60*(ABS(B48)-INT(ABS(B48)))," 00")&amp;"'"</f>
        <v>+37° 09'</v>
      </c>
      <c r="D48" s="29">
        <f>1/((1-(COS(RADIANS(F$1))*SIN(RADIANS(A48)))^2)^-0.5*COS(RADIANS(F$1))*COS(RADIANS(A48)))</f>
        <v>1.14731544570423</v>
      </c>
      <c r="E48" s="41">
        <f>DEGREES(ATAN(TAN(RADIANS(F$1))/COS(RADIANS(A48))))</f>
        <v>29.354909006348375</v>
      </c>
      <c r="F48" s="16" t="str">
        <f>IF(E48&lt;0,"-","+")&amp;TEXT(INT(ABS(E48)),"0")&amp;CHAR(176)&amp;TEXT(60*(ABS(E48)-INT(ABS(E48)))," 00")&amp;"'"</f>
        <v>+29° 21'</v>
      </c>
      <c r="G48" s="29">
        <f>(1+(TAN(RADIANS(F$1))/COS(RADIANS(A48)))^2)^-1*TAN(RADIANS(F$1))*(TAN(RADIANS(A48))/COS(RADIANS(A48)))</f>
        <v>0.3714235523493349</v>
      </c>
      <c r="H48" s="30">
        <f>90-A48</f>
        <v>49</v>
      </c>
      <c r="I48" s="31">
        <f>DEGREES(ASIN(SIN(RADIANS(A48))*SIN(RADIANS(90-E48))/SIN(RADIANS(B48))))</f>
        <v>71.23956472324396</v>
      </c>
      <c r="K48" s="24">
        <v>86</v>
      </c>
      <c r="L48" s="41">
        <f>DEGREES(ASIN(COS(RADIANS(F$1))*SIN(RADIANS(K48))))</f>
        <v>66.67338589513633</v>
      </c>
      <c r="M48" s="16" t="str">
        <f>IF(L48&lt;0,"-","+")&amp;TEXT(INT(ABS(L48)),"0")&amp;CHAR(176)&amp;TEXT(60*(ABS(L48)-INT(ABS(L48)))," 00")&amp;"'"</f>
        <v>+66° 40'</v>
      </c>
      <c r="N48" s="29">
        <f>1/((1-(COS(RADIANS(F$1))*SIN(RADIANS(K48)))^2)^-0.5*COS(RADIANS(F$1))*COS(RADIANS(K48)))</f>
        <v>6.166716248636906</v>
      </c>
      <c r="O48" s="41">
        <f>DEGREES(ATAN(TAN(RADIANS(F$1))/COS(RADIANS(K48))))</f>
        <v>80.66765752189673</v>
      </c>
      <c r="P48" s="16" t="str">
        <f>IF(O48&lt;0,"-","+")&amp;TEXT(INT(ABS(O48)),"0")&amp;CHAR(176)&amp;TEXT(60*(ABS(O48)-INT(ABS(O48)))," 00")&amp;"'"</f>
        <v>+80° 40'</v>
      </c>
      <c r="Q48" s="29">
        <f>(1+(TAN(RADIANS(F$1))/COS(RADIANS(K48)))^2)^-1*TAN(RADIANS(F$1))*(TAN(RADIANS(K48))/COS(RADIANS(K48)))</f>
        <v>2.2883147015455942</v>
      </c>
      <c r="R48" s="30">
        <f>90-K48</f>
        <v>4</v>
      </c>
      <c r="S48" s="31">
        <f>DEGREES(ASIN(SIN(RADIANS(K48))*SIN(RADIANS(90-O48))/SIN(RADIANS(L48))))</f>
        <v>10.146468672910917</v>
      </c>
    </row>
    <row r="49" spans="1:19" ht="12.75">
      <c r="A49" s="24">
        <v>42</v>
      </c>
      <c r="B49" s="41">
        <f>DEGREES(ASIN(COS(RADIANS(F$1))*SIN(RADIANS(A49))))</f>
        <v>38.020106569576825</v>
      </c>
      <c r="C49" s="24" t="str">
        <f>IF(B49&lt;0,"-","+")&amp;TEXT(INT(ABS(B49)),"0")&amp;CHAR(176)&amp;TEXT(60*(ABS(B49)-INT(ABS(B49)))," 00")&amp;"'"</f>
        <v>+38° 01'</v>
      </c>
      <c r="D49" s="29">
        <f>1/((1-(COS(RADIANS(F$1))*SIN(RADIANS(A49)))^2)^-0.5*COS(RADIANS(F$1))*COS(RADIANS(A49)))</f>
        <v>1.1516313749739273</v>
      </c>
      <c r="E49" s="41">
        <f>DEGREES(ATAN(TAN(RADIANS(F$1))/COS(RADIANS(A49))))</f>
        <v>29.73445509050927</v>
      </c>
      <c r="F49" s="16" t="str">
        <f>IF(E49&lt;0,"-","+")&amp;TEXT(INT(ABS(E49)),"0")&amp;CHAR(176)&amp;TEXT(60*(ABS(E49)-INT(ABS(E49)))," 00")&amp;"'"</f>
        <v>+29° 44'</v>
      </c>
      <c r="G49" s="29">
        <f>(1+(TAN(RADIANS(F$1))/COS(RADIANS(A49)))^2)^-1*TAN(RADIANS(F$1))*(TAN(RADIANS(A49))/COS(RADIANS(A49)))</f>
        <v>0.38778314749285336</v>
      </c>
      <c r="H49" s="30">
        <f>90-A49</f>
        <v>48</v>
      </c>
      <c r="I49" s="31">
        <f>DEGREES(ASIN(SIN(RADIANS(A49))*SIN(RADIANS(90-E49))/SIN(RADIANS(B49))))</f>
        <v>70.61731790492817</v>
      </c>
      <c r="K49" s="24">
        <v>87</v>
      </c>
      <c r="L49" s="41">
        <f>DEGREES(ASIN(COS(RADIANS(F$1))*SIN(RADIANS(K49))))</f>
        <v>66.81571195372034</v>
      </c>
      <c r="M49" s="16" t="str">
        <f>IF(L49&lt;0,"-","+")&amp;TEXT(INT(ABS(L49)),"0")&amp;CHAR(176)&amp;TEXT(60*(ABS(L49)-INT(ABS(L49)))," 00")&amp;"'"</f>
        <v>+66° 49'</v>
      </c>
      <c r="N49" s="29">
        <f>1/((1-(COS(RADIANS(F$1))*SIN(RADIANS(K49)))^2)^-0.5*COS(RADIANS(F$1))*COS(RADIANS(K49)))</f>
        <v>8.17199261956784</v>
      </c>
      <c r="O49" s="41">
        <f>DEGREES(ATAN(TAN(RADIANS(F$1))/COS(RADIANS(K49))))</f>
        <v>82.97114576206074</v>
      </c>
      <c r="P49" s="16" t="str">
        <f>IF(O49&lt;0,"-","+")&amp;TEXT(INT(ABS(O49)),"0")&amp;CHAR(176)&amp;TEXT(60*(ABS(O49)-INT(ABS(O49)))," 00")&amp;"'"</f>
        <v>+82° 58'</v>
      </c>
      <c r="Q49" s="29">
        <f>(1+(TAN(RADIANS(F$1))/COS(RADIANS(K49)))^2)^-1*TAN(RADIANS(F$1))*(TAN(RADIANS(K49))/COS(RADIANS(K49)))</f>
        <v>2.3173950578241667</v>
      </c>
      <c r="R49" s="30">
        <f>90-K49</f>
        <v>3</v>
      </c>
      <c r="S49" s="31">
        <f>DEGREES(ASIN(SIN(RADIANS(K49))*SIN(RADIANS(90-O49))/SIN(RADIANS(L49))))</f>
        <v>7.639344842615036</v>
      </c>
    </row>
    <row r="50" spans="1:19" ht="12.75">
      <c r="A50" s="24">
        <v>43</v>
      </c>
      <c r="B50" s="41">
        <f>DEGREES(ASIN(COS(RADIANS(F$1))*SIN(RADIANS(A50))))</f>
        <v>38.88673035546076</v>
      </c>
      <c r="C50" s="24" t="str">
        <f>IF(B50&lt;0,"-","+")&amp;TEXT(INT(ABS(B50)),"0")&amp;CHAR(176)&amp;TEXT(60*(ABS(B50)-INT(ABS(B50)))," 00")&amp;"'"</f>
        <v>+38° 53'</v>
      </c>
      <c r="D50" s="29">
        <f>1/((1-(COS(RADIANS(F$1))*SIN(RADIANS(A50)))^2)^-0.5*COS(RADIANS(F$1))*COS(RADIANS(A50)))</f>
        <v>1.1562264489543133</v>
      </c>
      <c r="E50" s="41">
        <f>DEGREES(ATAN(TAN(RADIANS(F$1))/COS(RADIANS(A50))))</f>
        <v>30.130711148560504</v>
      </c>
      <c r="F50" s="16" t="str">
        <f>IF(E50&lt;0,"-","+")&amp;TEXT(INT(ABS(E50)),"0")&amp;CHAR(176)&amp;TEXT(60*(ABS(E50)-INT(ABS(E50)))," 00")&amp;"'"</f>
        <v>+30° 08'</v>
      </c>
      <c r="G50" s="29">
        <f>(1+(TAN(RADIANS(F$1))/COS(RADIANS(A50)))^2)^-1*TAN(RADIANS(F$1))*(TAN(RADIANS(A50))/COS(RADIANS(A50)))</f>
        <v>0.4048503621936087</v>
      </c>
      <c r="H50" s="30">
        <f>90-A50</f>
        <v>47</v>
      </c>
      <c r="I50" s="31">
        <f>DEGREES(ASIN(SIN(RADIANS(A50))*SIN(RADIANS(90-E50))/SIN(RADIANS(B50))))</f>
        <v>69.9801477302521</v>
      </c>
      <c r="K50" s="24">
        <v>88</v>
      </c>
      <c r="L50" s="41">
        <f>DEGREES(ASIN(COS(RADIANS(F$1))*SIN(RADIANS(K50))))</f>
        <v>66.91791209383088</v>
      </c>
      <c r="M50" s="16" t="str">
        <f>IF(L50&lt;0,"-","+")&amp;TEXT(INT(ABS(L50)),"0")&amp;CHAR(176)&amp;TEXT(60*(ABS(L50)-INT(ABS(L50)))," 00")&amp;"'"</f>
        <v>+66° 55'</v>
      </c>
      <c r="N50" s="29">
        <f>1/((1-(COS(RADIANS(F$1))*SIN(RADIANS(K50)))^2)^-0.5*COS(RADIANS(F$1))*COS(RADIANS(K50)))</f>
        <v>12.203817377126814</v>
      </c>
      <c r="O50" s="41">
        <f>DEGREES(ATAN(TAN(RADIANS(F$1))/COS(RADIANS(K50))))</f>
        <v>85.2998237967337</v>
      </c>
      <c r="P50" s="16" t="str">
        <f>IF(O50&lt;0,"-","+")&amp;TEXT(INT(ABS(O50)),"0")&amp;CHAR(176)&amp;TEXT(60*(ABS(O50)-INT(ABS(O50)))," 00")&amp;"'"</f>
        <v>+85° 18'</v>
      </c>
      <c r="Q50" s="29">
        <f>(1+(TAN(RADIANS(F$1))/COS(RADIANS(K50)))^2)^-1*TAN(RADIANS(F$1))*(TAN(RADIANS(K50))/COS(RADIANS(K50)))</f>
        <v>2.3386086944824833</v>
      </c>
      <c r="R50" s="30">
        <f>90-K50</f>
        <v>2</v>
      </c>
      <c r="S50" s="31">
        <f>DEGREES(ASIN(SIN(RADIANS(K50))*SIN(RADIANS(90-O50))/SIN(RADIANS(L50))))</f>
        <v>5.107120413166245</v>
      </c>
    </row>
    <row r="51" spans="1:19" ht="12.75">
      <c r="A51" s="24">
        <v>44</v>
      </c>
      <c r="B51" s="41">
        <f>DEGREES(ASIN(COS(RADIANS(F$1))*SIN(RADIANS(A51))))</f>
        <v>39.74980620667196</v>
      </c>
      <c r="C51" s="24" t="str">
        <f>IF(B51&lt;0,"-","+")&amp;TEXT(INT(ABS(B51)),"0")&amp;CHAR(176)&amp;TEXT(60*(ABS(B51)-INT(ABS(B51)))," 00")&amp;"'"</f>
        <v>+39° 45'</v>
      </c>
      <c r="D51" s="29">
        <f>1/((1-(COS(RADIANS(F$1))*SIN(RADIANS(A51)))^2)^-0.5*COS(RADIANS(F$1))*COS(RADIANS(A51)))</f>
        <v>1.161122534903327</v>
      </c>
      <c r="E51" s="41">
        <f>DEGREES(ATAN(TAN(RADIANS(F$1))/COS(RADIANS(A51))))</f>
        <v>30.544405781290877</v>
      </c>
      <c r="F51" s="16" t="str">
        <f>IF(E51&lt;0,"-","+")&amp;TEXT(INT(ABS(E51)),"0")&amp;CHAR(176)&amp;TEXT(60*(ABS(E51)-INT(ABS(E51)))," 00")&amp;"'"</f>
        <v>+30° 33'</v>
      </c>
      <c r="G51" s="29">
        <f>(1+(TAN(RADIANS(F$1))/COS(RADIANS(A51)))^2)^-1*TAN(RADIANS(F$1))*(TAN(RADIANS(A51))/COS(RADIANS(A51)))</f>
        <v>0.4226675576993986</v>
      </c>
      <c r="H51" s="30">
        <f>90-A51</f>
        <v>46</v>
      </c>
      <c r="I51" s="31">
        <f>DEGREES(ASIN(SIN(RADIANS(A51))*SIN(RADIANS(90-E51))/SIN(RADIANS(B51))))</f>
        <v>69.32727175447127</v>
      </c>
      <c r="K51" s="24">
        <v>89</v>
      </c>
      <c r="L51" s="41">
        <f>DEGREES(ASIN(COS(RADIANS(F$1))*SIN(RADIANS(K51))))</f>
        <v>66.97945051274776</v>
      </c>
      <c r="M51" s="16" t="str">
        <f>IF(L51&lt;0,"-","+")&amp;TEXT(INT(ABS(L51)),"0")&amp;CHAR(176)&amp;TEXT(60*(ABS(L51)-INT(ABS(L51)))," 00")&amp;"'"</f>
        <v>+66° 59'</v>
      </c>
      <c r="N51" s="29">
        <f>1/((1-(COS(RADIANS(F$1))*SIN(RADIANS(K51)))^2)^-0.5*COS(RADIANS(F$1))*COS(RADIANS(K51)))</f>
        <v>24.342399235298906</v>
      </c>
      <c r="O51" s="41">
        <f>DEGREES(ATAN(TAN(RADIANS(F$1))/COS(RADIANS(K51))))</f>
        <v>87.64559332295178</v>
      </c>
      <c r="P51" s="16" t="str">
        <f>IF(O51&lt;0,"-","+")&amp;TEXT(INT(ABS(O51)),"0")&amp;CHAR(176)&amp;TEXT(60*(ABS(O51)-INT(ABS(O51)))," 00")&amp;"'"</f>
        <v>+87° 39'</v>
      </c>
      <c r="Q51" s="29">
        <f>(1+(TAN(RADIANS(F$1))/COS(RADIANS(K51)))^2)^-1*TAN(RADIANS(F$1))*(TAN(RADIANS(K51))/COS(RADIANS(K51)))</f>
        <v>2.351518393106316</v>
      </c>
      <c r="R51" s="30">
        <f>90-K51</f>
        <v>1</v>
      </c>
      <c r="S51" s="31">
        <f>DEGREES(ASIN(SIN(RADIANS(K51))*SIN(RADIANS(90-O51))/SIN(RADIANS(L51))))</f>
        <v>2.557863927429086</v>
      </c>
    </row>
    <row r="52" spans="1:19" ht="12.75">
      <c r="A52" s="24">
        <v>45</v>
      </c>
      <c r="B52" s="41">
        <f>DEGREES(ASIN(COS(RADIANS(F$1))*SIN(RADIANS(A52))))</f>
        <v>40.609131977227925</v>
      </c>
      <c r="C52" s="24" t="str">
        <f>IF(B52&lt;0,"-","+")&amp;TEXT(INT(ABS(B52)),"0")&amp;CHAR(176)&amp;TEXT(60*(ABS(B52)-INT(ABS(B52)))," 00")&amp;"'"</f>
        <v>+40° 37'</v>
      </c>
      <c r="D52" s="29">
        <f>1/((1-(COS(RADIANS(F$1))*SIN(RADIANS(A52)))^2)^-0.5*COS(RADIANS(F$1))*COS(RADIANS(A52)))</f>
        <v>1.1663437482973682</v>
      </c>
      <c r="E52" s="41">
        <f>DEGREES(ATAN(TAN(RADIANS(F$1))/COS(RADIANS(A52))))</f>
        <v>30.97631116560979</v>
      </c>
      <c r="F52" s="16" t="str">
        <f>IF(E52&lt;0,"-","+")&amp;TEXT(INT(ABS(E52)),"0")&amp;CHAR(176)&amp;TEXT(60*(ABS(E52)-INT(ABS(E52)))," 00")&amp;"'"</f>
        <v>+30° 59'</v>
      </c>
      <c r="G52" s="29">
        <f>(1+(TAN(RADIANS(F$1))/COS(RADIANS(A52)))^2)^-1*TAN(RADIANS(F$1))*(TAN(RADIANS(A52))/COS(RADIANS(A52)))</f>
        <v>0.4412795433691191</v>
      </c>
      <c r="H52" s="30">
        <f>90-A52</f>
        <v>45</v>
      </c>
      <c r="I52" s="31">
        <f>DEGREES(ASIN(SIN(RADIANS(A52))*SIN(RADIANS(90-E52))/SIN(RADIANS(B52))))</f>
        <v>68.65786519224484</v>
      </c>
      <c r="K52" s="24">
        <v>90</v>
      </c>
      <c r="L52" s="41">
        <f>DEGREES(ASIN(COS(RADIANS(F$1))*SIN(RADIANS(K52))))</f>
        <v>67</v>
      </c>
      <c r="M52" s="16" t="str">
        <f>IF(L52&lt;0,"-","+")&amp;TEXT(INT(ABS(L52)),"0")&amp;CHAR(176)&amp;TEXT(60*(ABS(L52)-INT(ABS(L52)))," 00")&amp;"'"</f>
        <v>+67° 00'</v>
      </c>
      <c r="N52" s="36"/>
      <c r="O52" s="41">
        <f>DEGREES(ATAN(TAN(RADIANS(F$1))/COS(RADIANS(K52))))</f>
        <v>90</v>
      </c>
      <c r="P52" s="16" t="str">
        <f>IF(O52&lt;0,"-","+")&amp;TEXT(INT(ABS(O52)),"0")&amp;CHAR(176)&amp;TEXT(60*(ABS(O52)-INT(ABS(O52)))," 00")&amp;"'"</f>
        <v>+90° 00'</v>
      </c>
      <c r="Q52" s="29">
        <f>(1+(TAN(RADIANS(F$1))/COS(RADIANS(K52)))^2)^-1*TAN(RADIANS(F$1))*(TAN(RADIANS(K52))/COS(RADIANS(K52)))</f>
        <v>2.355852365823753</v>
      </c>
      <c r="R52" s="30">
        <f>90-K52</f>
        <v>0</v>
      </c>
      <c r="S52" s="31">
        <f>DEGREES(ASIN(SIN(RADIANS(K52))*SIN(RADIANS(90-O52))/SIN(RADIANS(L52))))</f>
        <v>0</v>
      </c>
    </row>
    <row r="53" spans="1:19" ht="12.75">
      <c r="A53" s="24" t="s">
        <v>22</v>
      </c>
      <c r="B53" s="16"/>
      <c r="C53" s="35" t="s">
        <v>61</v>
      </c>
      <c r="E53" s="16"/>
      <c r="F53" s="35" t="s">
        <v>62</v>
      </c>
      <c r="I53" s="37" t="s">
        <v>61</v>
      </c>
      <c r="K53" s="24" t="s">
        <v>22</v>
      </c>
      <c r="L53" s="16"/>
      <c r="M53" s="35" t="s">
        <v>61</v>
      </c>
      <c r="P53" s="35" t="s">
        <v>62</v>
      </c>
      <c r="S53" s="37" t="s">
        <v>61</v>
      </c>
    </row>
    <row r="54" spans="2:16" ht="12.75">
      <c r="B54" s="34"/>
      <c r="D54" s="38" t="s">
        <v>60</v>
      </c>
      <c r="F54" s="40" t="str">
        <f>IF(F1&lt;0,"-","+")&amp;TEXT(INT(ABS(F1)),"0")&amp;CHAR(176)&amp;TEXT(60*(ABS(F1)-INT(ABS(F1)))," #0")&amp;"'"</f>
        <v>+23° 0'</v>
      </c>
      <c r="K54" s="24"/>
      <c r="L54" s="34"/>
      <c r="M54" s="39"/>
      <c r="N54" s="38" t="s">
        <v>60</v>
      </c>
      <c r="P54" s="40" t="str">
        <f>IF(O1&lt;0,"-","+")&amp;TEXT(INT(ABS(F1)),"0")&amp;CHAR(176)&amp;TEXT(60*(ABS(F1)-INT(ABS(F1)))," #0")&amp;"'"</f>
        <v>+23° 0'</v>
      </c>
    </row>
  </sheetData>
  <printOptions/>
  <pageMargins left="0.75" right="0.75" top="1.6666666666666667" bottom="1.6666666666666667" header="0" footer="0"/>
  <pageSetup cellComments="asDisplayed" fitToHeight="1" fitToWidth="1" horizontalDpi="600" verticalDpi="600" orientation="portrait" paperSize="9" scale="62"/>
  <headerFooter alignWithMargins="0">
    <oddHeader>&amp;L&amp;[TAB]</oddHeader>
    <oddFooter>&amp;LPage &amp;[PAGE]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8"/>
  <sheetViews>
    <sheetView tabSelected="1" zoomScale="75" zoomScaleNormal="75" zoomScaleSheetLayoutView="1" workbookViewId="0" topLeftCell="A1">
      <selection activeCell="B4" sqref="B4"/>
    </sheetView>
  </sheetViews>
  <sheetFormatPr defaultColWidth="9.00390625" defaultRowHeight="12.75"/>
  <cols>
    <col min="1" max="1" width="26.125" style="16" customWidth="1"/>
    <col min="2" max="2" width="9.25390625" style="16" customWidth="1"/>
    <col min="3" max="3" width="10.875" style="16" customWidth="1"/>
    <col min="4" max="4" width="12.875" style="16" customWidth="1"/>
    <col min="5" max="5" width="12.125" style="16" customWidth="1"/>
    <col min="6" max="6" width="12.75390625" style="16" customWidth="1"/>
    <col min="7" max="7" width="10.25390625" style="16" customWidth="1"/>
    <col min="8" max="8" width="11.125" style="16" customWidth="1"/>
    <col min="9" max="9" width="14.875" style="16" customWidth="1"/>
    <col min="10" max="10" width="11.375" style="16" customWidth="1"/>
    <col min="11" max="11" width="10.125" style="16" customWidth="1"/>
    <col min="12" max="12" width="13.875" style="16" customWidth="1"/>
    <col min="13" max="13" width="11.00390625" style="16" customWidth="1"/>
    <col min="14" max="14" width="9.25390625" style="16" customWidth="1"/>
    <col min="15" max="15" width="6.375" style="16" customWidth="1"/>
    <col min="16" max="16" width="9.25390625" style="16" customWidth="1"/>
    <col min="17" max="17" width="7.75390625" style="16" customWidth="1"/>
    <col min="18" max="18" width="10.875" style="16" customWidth="1"/>
    <col min="19" max="19" width="10.375" style="16" customWidth="1"/>
    <col min="20" max="20" width="7.25390625" style="1" customWidth="1"/>
    <col min="21" max="21" width="9.125" style="1" customWidth="1"/>
    <col min="22" max="22" width="6.125" style="1" customWidth="1"/>
    <col min="23" max="23" width="6.75390625" style="1" customWidth="1"/>
    <col min="24" max="24" width="4.375" style="1" customWidth="1"/>
    <col min="25" max="26" width="9.125" style="1" customWidth="1"/>
  </cols>
  <sheetData>
    <row r="1" spans="1:9" ht="12.75">
      <c r="A1" s="16" t="s">
        <v>63</v>
      </c>
      <c r="G1" s="26" t="s">
        <v>13</v>
      </c>
      <c r="H1" s="7">
        <f>180+DEGREES(ATAN2(COS(F7)*SIN(F6)-TAN(F5)*COS(F6),SIN(F7)))</f>
        <v>124.06365881650109</v>
      </c>
      <c r="I1" s="9" t="str">
        <f>IF(H1&lt;0,"-","+")&amp;TEXT(INT(ABS(H1)),"0")&amp;CHAR(176)&amp;TEXT(60*(ABS(H1)-INT(ABS(H1)))," #0.0")&amp;"'"</f>
        <v>+124° 3.8'</v>
      </c>
    </row>
    <row r="2" spans="1:9" ht="12.75">
      <c r="A2" s="17" t="s">
        <v>0</v>
      </c>
      <c r="F2" s="26" t="s">
        <v>82</v>
      </c>
      <c r="G2" s="26" t="s">
        <v>47</v>
      </c>
      <c r="H2" s="7">
        <f>DEGREES(ASIN(SIN(F5)*SIN(F6)+COS(F5)*COS(F6)*COS(F7)))</f>
        <v>23.941584916640466</v>
      </c>
      <c r="I2" s="9" t="str">
        <f>IF(H2&lt;0,"-","+")&amp;TEXT(INT(ABS(H2)),"0")&amp;CHAR(176)&amp;TEXT(60*(ABS(H2)-INT(ABS(H2)))," ##.0")&amp;"'"</f>
        <v>+23° 56.5'</v>
      </c>
    </row>
    <row r="3" ht="12.75">
      <c r="A3" s="16" t="s">
        <v>114</v>
      </c>
    </row>
    <row r="4" spans="9:26" ht="12.75">
      <c r="I4" s="16" t="s">
        <v>36</v>
      </c>
      <c r="M4" s="16" t="s">
        <v>38</v>
      </c>
      <c r="P4" s="16" t="s">
        <v>39</v>
      </c>
      <c r="S4" s="16" t="s">
        <v>40</v>
      </c>
      <c r="U4" s="16" t="s">
        <v>42</v>
      </c>
      <c r="W4" s="1" t="s">
        <v>45</v>
      </c>
      <c r="Y4" s="16" t="s">
        <v>32</v>
      </c>
      <c r="Z4" s="16"/>
    </row>
    <row r="5" spans="1:26" ht="12.75">
      <c r="A5" s="20" t="s">
        <v>110</v>
      </c>
      <c r="B5" s="8">
        <v>-8</v>
      </c>
      <c r="C5" s="8">
        <v>11.4</v>
      </c>
      <c r="D5" s="7">
        <f>IF(B5&lt;&gt;0,SIGN(B5),1)*(ABS(B5)+C5/60)</f>
        <v>-8.19</v>
      </c>
      <c r="E5" s="16" t="str">
        <f>IF(D5&lt;0,"-","+")&amp;TEXT(INT(ABS(D5)),"0")&amp;CHAR(176)&amp;TEXT(60*(ABS(D5)-INT(ABS(D5)))," #0.#")&amp;"'"</f>
        <v>-8° 11.4'</v>
      </c>
      <c r="F5" s="7">
        <f>RADIANS(D5)</f>
        <v>-0.14294246573833558</v>
      </c>
      <c r="G5" s="16" t="s">
        <v>112</v>
      </c>
      <c r="I5" s="8">
        <v>-23</v>
      </c>
      <c r="J5" s="8">
        <v>10.3</v>
      </c>
      <c r="M5" s="8">
        <v>12</v>
      </c>
      <c r="N5" s="8">
        <v>22.6</v>
      </c>
      <c r="P5" s="8">
        <v>-13</v>
      </c>
      <c r="Q5" s="8">
        <v>21.8</v>
      </c>
      <c r="R5" s="20" t="s">
        <v>18</v>
      </c>
      <c r="S5" s="8">
        <v>28</v>
      </c>
      <c r="T5" s="8">
        <v>37</v>
      </c>
      <c r="U5" s="8">
        <v>-15</v>
      </c>
      <c r="V5" s="8">
        <v>37</v>
      </c>
      <c r="W5" s="1">
        <v>-50</v>
      </c>
      <c r="X5" s="1">
        <v>0</v>
      </c>
      <c r="Y5" s="8">
        <v>45</v>
      </c>
      <c r="Z5" s="8">
        <v>18.7</v>
      </c>
    </row>
    <row r="6" spans="1:26" ht="12.75">
      <c r="A6" s="20" t="s">
        <v>86</v>
      </c>
      <c r="B6" s="8">
        <v>39</v>
      </c>
      <c r="C6" s="8">
        <v>0</v>
      </c>
      <c r="D6" s="7">
        <f>IF(B6&lt;&gt;0,SIGN(B6),1)*(ABS(B6)+C6/60)</f>
        <v>39</v>
      </c>
      <c r="E6" s="16" t="str">
        <f>IF(D6&lt;0,"-","+")&amp;TEXT(INT(ABS(D6)),"0")&amp;CHAR(176)&amp;TEXT(60*(ABS(D6)-INT(ABS(D6)))," #0.#")&amp;"'"</f>
        <v>+39° 0.'</v>
      </c>
      <c r="F6" s="7">
        <f>RADIANS(D6)</f>
        <v>0.6806784082777885</v>
      </c>
      <c r="G6" s="16" t="s">
        <v>88</v>
      </c>
      <c r="I6" s="8">
        <v>29</v>
      </c>
      <c r="J6" s="8">
        <v>11</v>
      </c>
      <c r="M6" s="8">
        <v>34</v>
      </c>
      <c r="N6" s="8">
        <v>38</v>
      </c>
      <c r="P6" s="8">
        <v>40</v>
      </c>
      <c r="Q6" s="8">
        <v>0</v>
      </c>
      <c r="R6" s="20" t="s">
        <v>48</v>
      </c>
      <c r="S6" s="8">
        <v>40</v>
      </c>
      <c r="T6" s="8">
        <v>0</v>
      </c>
      <c r="U6" s="8">
        <v>-40</v>
      </c>
      <c r="V6" s="8">
        <v>0</v>
      </c>
      <c r="W6" s="1">
        <v>-40</v>
      </c>
      <c r="X6" s="1">
        <v>0</v>
      </c>
      <c r="Y6" s="8">
        <v>40</v>
      </c>
      <c r="Z6" s="8">
        <v>0</v>
      </c>
    </row>
    <row r="7" spans="1:26" ht="12.75">
      <c r="A7" s="20" t="s">
        <v>21</v>
      </c>
      <c r="B7" s="8">
        <v>-49</v>
      </c>
      <c r="C7" s="8">
        <v>54.1</v>
      </c>
      <c r="D7" s="7">
        <f>IF(B7&lt;&gt;0,SIGN(B7),1)*(ABS(B7)+C7/60)</f>
        <v>-49.901666666666664</v>
      </c>
      <c r="E7" s="16" t="str">
        <f>IF(D7&lt;0,"-","+")&amp;TEXT(INT(ABS(D7)),"0")&amp;CHAR(176)&amp;TEXT(60*(ABS(D7)-INT(ABS(D7)))," #0.#")&amp;"'"</f>
        <v>-49° 54.1'</v>
      </c>
      <c r="F7" s="7">
        <f>RADIANS(D7)</f>
        <v>-0.8709483855660369</v>
      </c>
      <c r="G7" s="16" t="s">
        <v>108</v>
      </c>
      <c r="I7" s="8">
        <v>-42</v>
      </c>
      <c r="J7" s="8">
        <v>23.2</v>
      </c>
      <c r="M7" s="8">
        <v>-9</v>
      </c>
      <c r="N7" s="8">
        <v>55.6</v>
      </c>
      <c r="P7" s="8">
        <v>40</v>
      </c>
      <c r="Q7" s="8">
        <v>53.3</v>
      </c>
      <c r="R7" s="20" t="s">
        <v>21</v>
      </c>
      <c r="S7" s="8">
        <v>-71</v>
      </c>
      <c r="T7" s="8">
        <v>36.9</v>
      </c>
      <c r="U7" s="8">
        <v>20</v>
      </c>
      <c r="V7" s="8">
        <v>36.9</v>
      </c>
      <c r="W7" s="1">
        <v>-120</v>
      </c>
      <c r="X7" s="1">
        <v>0</v>
      </c>
      <c r="Y7" s="8">
        <v>77</v>
      </c>
      <c r="Z7" s="8">
        <v>26.5</v>
      </c>
    </row>
    <row r="8" spans="1:26" ht="12.75">
      <c r="A8" s="20" t="s">
        <v>41</v>
      </c>
      <c r="B8" s="8">
        <v>-77</v>
      </c>
      <c r="C8" s="8">
        <v>0</v>
      </c>
      <c r="D8" s="7">
        <f>IF(B8&lt;&gt;0,SIGN(B8),1)*(ABS(B8)+C8/60)</f>
        <v>-77</v>
      </c>
      <c r="E8" s="16" t="str">
        <f>IF(D8&lt;0,"-","+")&amp;TEXT(INT(ABS(D8)),"0")&amp;CHAR(176)&amp;TEXT(60*(ABS(D8)-INT(ABS(D8)))," #0.#")&amp;"'"</f>
        <v>-77° 0.'</v>
      </c>
      <c r="F8" s="7">
        <f>RADIANS(D8)</f>
        <v>-1.3439035240356336</v>
      </c>
      <c r="G8" s="16" t="s">
        <v>81</v>
      </c>
      <c r="I8" s="8">
        <v>-78</v>
      </c>
      <c r="J8" s="8">
        <v>29</v>
      </c>
      <c r="M8" s="8">
        <v>-65</v>
      </c>
      <c r="N8" s="8">
        <v>12</v>
      </c>
      <c r="P8" s="8">
        <v>-60</v>
      </c>
      <c r="Q8" s="8">
        <v>0</v>
      </c>
      <c r="R8" s="20" t="s">
        <v>41</v>
      </c>
      <c r="S8" s="8">
        <v>-60</v>
      </c>
      <c r="T8" s="8">
        <v>0</v>
      </c>
      <c r="U8" s="8">
        <v>20</v>
      </c>
      <c r="V8" s="8">
        <v>0</v>
      </c>
      <c r="W8" s="1">
        <v>20</v>
      </c>
      <c r="X8" s="1">
        <v>0</v>
      </c>
      <c r="Y8" s="8">
        <v>-75</v>
      </c>
      <c r="Z8" s="8">
        <v>0</v>
      </c>
    </row>
    <row r="9" spans="1:26" ht="12.75">
      <c r="A9" s="20" t="s">
        <v>19</v>
      </c>
      <c r="B9" s="8">
        <v>23</v>
      </c>
      <c r="C9" s="8">
        <v>53.6</v>
      </c>
      <c r="D9" s="7">
        <f>IF(B9&lt;&gt;0,SIGN(B9),1)*(ABS(B9)+C9/60)</f>
        <v>23.893333333333334</v>
      </c>
      <c r="E9" s="16" t="str">
        <f>IF(D9&lt;0,"-","+")&amp;TEXT(INT(ABS(D9)),"0")&amp;CHAR(176)&amp;TEXT(60*(ABS(D9)-INT(ABS(D9)))," #0.#")&amp;"'"</f>
        <v>+23° 53.6'</v>
      </c>
      <c r="F9" s="7">
        <f>RADIANS(D9)</f>
        <v>0.41701733594317847</v>
      </c>
      <c r="I9" s="8">
        <v>24</v>
      </c>
      <c r="J9" s="8">
        <v>4.3</v>
      </c>
      <c r="K9" s="16" t="s">
        <v>26</v>
      </c>
      <c r="M9" s="8">
        <v>66</v>
      </c>
      <c r="N9" s="8">
        <v>11.6</v>
      </c>
      <c r="P9" s="8">
        <v>24</v>
      </c>
      <c r="Q9" s="8">
        <v>30.7</v>
      </c>
      <c r="R9" s="20" t="s">
        <v>19</v>
      </c>
      <c r="S9" s="8">
        <v>31</v>
      </c>
      <c r="T9" s="8">
        <v>19.8</v>
      </c>
      <c r="U9" s="8">
        <v>59</v>
      </c>
      <c r="V9" s="8">
        <v>43</v>
      </c>
      <c r="W9" s="1">
        <v>14</v>
      </c>
      <c r="X9" s="1">
        <v>0</v>
      </c>
      <c r="Y9" s="8">
        <v>35</v>
      </c>
      <c r="Z9" s="8">
        <v>2.3</v>
      </c>
    </row>
    <row r="10" ht="12.75">
      <c r="B10" s="7" t="s">
        <v>73</v>
      </c>
    </row>
    <row r="11" ht="12.75">
      <c r="A11" s="16" t="s">
        <v>101</v>
      </c>
    </row>
    <row r="12" spans="1:8" ht="12.75">
      <c r="A12" s="20" t="s">
        <v>68</v>
      </c>
      <c r="D12" s="7">
        <f>ROUND(ABS(D5)*2,0.5)/2</f>
        <v>8</v>
      </c>
      <c r="G12" s="24"/>
      <c r="H12" s="24"/>
    </row>
    <row r="13" spans="3:10" ht="12.75">
      <c r="C13" s="20" t="s">
        <v>95</v>
      </c>
      <c r="D13" s="7">
        <f>SIGN(D7)*(180-ABS(D7))</f>
        <v>-130.09833333333333</v>
      </c>
      <c r="E13" s="16" t="str">
        <f>IF(D13&lt;0,"-","+")&amp;TEXT(INT(ABS(D13)),"0")&amp;CHAR(176)&amp;TEXT(60*(ABS(D13)-INT(ABS(D13)))," #0.0")&amp;"'"</f>
        <v>-130° 5.9'</v>
      </c>
      <c r="G13" s="7"/>
      <c r="H13" s="7"/>
      <c r="J13" s="7"/>
    </row>
    <row r="14" spans="2:10" ht="12.75">
      <c r="B14" s="2"/>
      <c r="C14" s="20" t="s">
        <v>118</v>
      </c>
      <c r="D14" s="7">
        <f>IF(ABS(D7)&gt;90,D13,D7)</f>
        <v>-49.901666666666664</v>
      </c>
      <c r="G14" s="7"/>
      <c r="H14" s="7"/>
      <c r="J14" s="7"/>
    </row>
    <row r="15" spans="2:19" ht="15.75">
      <c r="B15" s="43"/>
      <c r="C15" s="43"/>
      <c r="D15" s="43"/>
      <c r="E15" s="45" t="s">
        <v>20</v>
      </c>
      <c r="F15" s="68">
        <f>D12</f>
        <v>8</v>
      </c>
      <c r="G15" s="43"/>
      <c r="H15" s="43"/>
      <c r="I15" s="63"/>
      <c r="J15" s="1"/>
      <c r="K15" s="35"/>
      <c r="L15" s="35"/>
      <c r="M15" s="1"/>
      <c r="N15" s="35"/>
      <c r="O15" s="35"/>
      <c r="P15" s="1"/>
      <c r="Q15" s="35"/>
      <c r="R15" s="1"/>
      <c r="S15" s="1"/>
    </row>
    <row r="16" spans="1:19" ht="12.75">
      <c r="A16" s="75" t="s">
        <v>56</v>
      </c>
      <c r="C16" s="35" t="s">
        <v>57</v>
      </c>
      <c r="D16" s="35" t="s">
        <v>89</v>
      </c>
      <c r="F16" s="35" t="s">
        <v>58</v>
      </c>
      <c r="G16" s="35" t="s">
        <v>90</v>
      </c>
      <c r="H16" s="35" t="s">
        <v>59</v>
      </c>
      <c r="I16" s="66" t="s">
        <v>91</v>
      </c>
      <c r="J16" s="1"/>
      <c r="K16" s="24"/>
      <c r="M16" s="35"/>
      <c r="N16" s="35"/>
      <c r="P16" s="35"/>
      <c r="Q16" s="35"/>
      <c r="R16" s="35"/>
      <c r="S16" s="35"/>
    </row>
    <row r="17" spans="1:19" ht="12.75">
      <c r="A17" s="52">
        <f>A18-1</f>
        <v>49</v>
      </c>
      <c r="B17" s="41">
        <f>DEGREES(ASIN(COS(RADIANS(F$15))*SIN(RADIANS(A17))))</f>
        <v>48.362621314911145</v>
      </c>
      <c r="C17" s="24" t="str">
        <f>IF(B17&lt;0,"-","+")&amp;TEXT(INT(ABS(B17)),"0")&amp;CHAR(176)&amp;TEXT(60*(ABS(B17)-INT(ABS(B17)))," 00")&amp;"'"</f>
        <v>+48° 22'</v>
      </c>
      <c r="D17" s="29">
        <f>1/((1-(COS(RADIANS(F$15))*SIN(RADIANS(A17)))^2)^-0.5*COS(RADIANS(F$15))*COS(RADIANS(A17)))</f>
        <v>1.0226876958215303</v>
      </c>
      <c r="E17" s="41">
        <f>DEGREES(ATAN(TAN(RADIANS(F$15))/COS(RADIANS(A17))))</f>
        <v>12.09114628072293</v>
      </c>
      <c r="F17" s="16" t="str">
        <f>IF(E17&lt;0,"-","+")&amp;TEXT(INT(ABS(E17)),"0")&amp;CHAR(176)&amp;TEXT(60*(ABS(E17)-INT(ABS(E17)))," 00")&amp;"'"</f>
        <v>+12° 05'</v>
      </c>
      <c r="G17" s="29">
        <f>(1+(TAN(RADIANS(F$15))/COS(RADIANS(A17)))^2)^-1*TAN(RADIANS(F$15))*(TAN(RADIANS(A17))/COS(RADIANS(A17)))</f>
        <v>0.23561910178485387</v>
      </c>
      <c r="H17" s="30">
        <f>90-A17</f>
        <v>41</v>
      </c>
      <c r="I17" s="47">
        <f>DEGREES(ASIN(SIN(RADIANS(A17))*SIN(RADIANS(90-E17))/SIN(RADIANS(B17))))</f>
        <v>80.90411769561048</v>
      </c>
      <c r="J17" s="1"/>
      <c r="K17" s="24"/>
      <c r="L17" s="41"/>
      <c r="N17" s="29"/>
      <c r="O17" s="41"/>
      <c r="Q17" s="29"/>
      <c r="R17" s="30"/>
      <c r="S17" s="31"/>
    </row>
    <row r="18" spans="1:19" ht="12.75">
      <c r="A18" s="52">
        <f>IF(ABS(D7)&gt;90,180-ABS(ROUND(D7,0)),ABS(ROUND(D7,0)))</f>
        <v>50</v>
      </c>
      <c r="B18" s="41">
        <f>DEGREES(ASIN(COS(RADIANS(F$15))*SIN(RADIANS(A18))))</f>
        <v>49.339995540103594</v>
      </c>
      <c r="C18" s="24" t="str">
        <f>IF(B18&lt;0,"-","+")&amp;TEXT(INT(ABS(B18)),"0")&amp;CHAR(176)&amp;TEXT(60*(ABS(B18)-INT(ABS(B18)))," 00")&amp;"'"</f>
        <v>+49° 20'</v>
      </c>
      <c r="D18" s="29">
        <f>1/((1-(COS(RADIANS(F$15))*SIN(RADIANS(A18)))^2)^-0.5*COS(RADIANS(F$15))*COS(RADIANS(A18)))</f>
        <v>1.0236232907080511</v>
      </c>
      <c r="E18" s="41">
        <f>DEGREES(ATAN(TAN(RADIANS(F$15))/COS(RADIANS(A18))))</f>
        <v>12.333221436715643</v>
      </c>
      <c r="F18" s="16" t="str">
        <f>IF(E18&lt;0,"-","+")&amp;TEXT(INT(ABS(E18)),"0")&amp;CHAR(176)&amp;TEXT(60*(ABS(E18)-INT(ABS(E18)))," 00")&amp;"'"</f>
        <v>+12° 20'</v>
      </c>
      <c r="G18" s="29">
        <f>(1+(TAN(RADIANS(F$15))/COS(RADIANS(A18)))^2)^-1*TAN(RADIANS(F$15))*(TAN(RADIANS(A18))/COS(RADIANS(A18)))</f>
        <v>0.24868018615137175</v>
      </c>
      <c r="H18" s="30">
        <f>90-A18</f>
        <v>40</v>
      </c>
      <c r="I18" s="47">
        <f>DEGREES(ASIN(SIN(RADIANS(A18))*SIN(RADIANS(90-E18))/SIN(RADIANS(B18))))</f>
        <v>80.58265070904655</v>
      </c>
      <c r="J18" s="1"/>
      <c r="K18" s="24"/>
      <c r="L18" s="41"/>
      <c r="N18" s="29"/>
      <c r="O18" s="41"/>
      <c r="Q18" s="29"/>
      <c r="R18" s="30"/>
      <c r="S18" s="31"/>
    </row>
    <row r="19" spans="1:19" ht="12.75">
      <c r="A19" s="52">
        <f>A18+1</f>
        <v>51</v>
      </c>
      <c r="B19" s="41">
        <f>DEGREES(ASIN(COS(RADIANS(F$15))*SIN(RADIANS(A19))))</f>
        <v>50.31644215352039</v>
      </c>
      <c r="C19" s="24" t="str">
        <f>IF(B19&lt;0,"-","+")&amp;TEXT(INT(ABS(B19)),"0")&amp;CHAR(176)&amp;TEXT(60*(ABS(B19)-INT(ABS(B19)))," 00")&amp;"'"</f>
        <v>+50° 19'</v>
      </c>
      <c r="D19" s="29">
        <f>1/((1-(COS(RADIANS(F$15))*SIN(RADIANS(A19)))^2)^-0.5*COS(RADIANS(F$15))*COS(RADIANS(A19)))</f>
        <v>1.0246328784740724</v>
      </c>
      <c r="E19" s="41">
        <f>DEGREES(ATAN(TAN(RADIANS(F$15))/COS(RADIANS(A19))))</f>
        <v>12.588819033033745</v>
      </c>
      <c r="F19" s="16" t="str">
        <f>IF(E19&lt;0,"-","+")&amp;TEXT(INT(ABS(E19)),"0")&amp;CHAR(176)&amp;TEXT(60*(ABS(E19)-INT(ABS(E19)))," 00")&amp;"'"</f>
        <v>+12° 35'</v>
      </c>
      <c r="G19" s="29">
        <f>(1+(TAN(RADIANS(F$15))/COS(RADIANS(A19)))^2)^-1*TAN(RADIANS(F$15))*(TAN(RADIANS(A19))/COS(RADIANS(A19)))</f>
        <v>0.2626787497172761</v>
      </c>
      <c r="H19" s="30">
        <f>90-A19</f>
        <v>39</v>
      </c>
      <c r="I19" s="47">
        <f>DEGREES(ASIN(SIN(RADIANS(A19))*SIN(RADIANS(90-E19))/SIN(RADIANS(B19))))</f>
        <v>80.2481612594046</v>
      </c>
      <c r="J19" s="1"/>
      <c r="K19" s="24"/>
      <c r="L19" s="41"/>
      <c r="N19" s="29"/>
      <c r="O19" s="41"/>
      <c r="Q19" s="29"/>
      <c r="R19" s="30"/>
      <c r="S19" s="31"/>
    </row>
    <row r="20" spans="1:19" ht="12.75">
      <c r="A20" s="75" t="s">
        <v>22</v>
      </c>
      <c r="C20" s="35" t="s">
        <v>61</v>
      </c>
      <c r="D20" s="35"/>
      <c r="F20" s="35" t="s">
        <v>62</v>
      </c>
      <c r="G20" s="35"/>
      <c r="H20" s="35"/>
      <c r="I20" s="66" t="s">
        <v>84</v>
      </c>
      <c r="J20" s="1"/>
      <c r="K20" s="24"/>
      <c r="M20" s="35"/>
      <c r="N20" s="35"/>
      <c r="O20" s="35"/>
      <c r="P20" s="35"/>
      <c r="Q20" s="35"/>
      <c r="R20" s="1"/>
      <c r="S20" s="35"/>
    </row>
    <row r="21" spans="1:19" ht="12.75">
      <c r="A21" s="69"/>
      <c r="B21" s="53"/>
      <c r="C21" s="55"/>
      <c r="D21" s="72"/>
      <c r="E21" s="42" t="s">
        <v>60</v>
      </c>
      <c r="F21" s="62">
        <f>F15</f>
        <v>8</v>
      </c>
      <c r="G21" s="55"/>
      <c r="H21" s="55"/>
      <c r="I21" s="54"/>
      <c r="J21" s="1"/>
      <c r="K21" s="24"/>
      <c r="L21" s="34"/>
      <c r="M21" s="39"/>
      <c r="N21" s="38"/>
      <c r="P21" s="40"/>
      <c r="Q21" s="35"/>
      <c r="R21" s="1"/>
      <c r="S21" s="1"/>
    </row>
    <row r="22" spans="3:10" ht="12.75">
      <c r="C22" s="20" t="s">
        <v>20</v>
      </c>
      <c r="D22" s="7">
        <f>(ABS(D14)-A17)/D17+B17</f>
        <v>49.24428506265219</v>
      </c>
      <c r="E22" s="24" t="str">
        <f>IF(D22&lt;0,"-","+")&amp;TEXT(INT(ABS(D22)),"0")&amp;CHAR(176)&amp;TEXT(60*(ABS(D22)-INT(ABS(D22)))," 00")&amp;"'"</f>
        <v>+49° 15'</v>
      </c>
      <c r="G22" s="7"/>
      <c r="H22" s="7"/>
      <c r="J22" s="7"/>
    </row>
    <row r="23" spans="3:10" ht="12.75">
      <c r="C23" s="20" t="s">
        <v>70</v>
      </c>
      <c r="D23" s="16">
        <f>ROUND(ABS(D22)*2,0.5)/2</f>
        <v>49</v>
      </c>
      <c r="E23" s="24" t="str">
        <f>IF(D24&lt;0,"-","+")&amp;TEXT(INT(ABS(D24)),"0")&amp;CHAR(176)&amp;TEXT(60*(ABS(D24)-INT(ABS(D24)))," 00")&amp;"'"</f>
        <v>+49° 00'</v>
      </c>
      <c r="G23" s="44"/>
      <c r="H23" s="44" t="s">
        <v>72</v>
      </c>
      <c r="I23" s="24">
        <f>ABS(ROUND(DEGREES(ASIN(COS(RADIANS(D5))*SIN(RADIANS(D7))))*2,0)/2)</f>
        <v>49</v>
      </c>
      <c r="J23" s="7"/>
    </row>
    <row r="24" spans="3:10" ht="12.75">
      <c r="C24" s="20" t="s">
        <v>99</v>
      </c>
      <c r="D24" s="7">
        <f>I23</f>
        <v>49</v>
      </c>
      <c r="G24" s="7"/>
      <c r="H24" s="7"/>
      <c r="I24" s="16">
        <f>ROUND(ABS(D22)*2,0.5)/2</f>
        <v>49</v>
      </c>
      <c r="J24" s="7"/>
    </row>
    <row r="25" spans="1:8" ht="12.75">
      <c r="A25" s="16" t="s">
        <v>67</v>
      </c>
      <c r="H25" s="7"/>
    </row>
    <row r="26" spans="2:9" ht="15.75">
      <c r="B26" s="43"/>
      <c r="C26" s="43"/>
      <c r="D26" s="43"/>
      <c r="E26" s="45" t="s">
        <v>20</v>
      </c>
      <c r="F26" s="68">
        <f>D24</f>
        <v>49</v>
      </c>
      <c r="G26" s="43"/>
      <c r="H26" s="43"/>
      <c r="I26" s="63"/>
    </row>
    <row r="27" spans="1:9" ht="12.75">
      <c r="A27" s="75" t="s">
        <v>56</v>
      </c>
      <c r="C27" s="35" t="s">
        <v>57</v>
      </c>
      <c r="D27" s="35" t="s">
        <v>89</v>
      </c>
      <c r="F27" s="35" t="s">
        <v>58</v>
      </c>
      <c r="G27" s="35" t="s">
        <v>90</v>
      </c>
      <c r="H27" s="35" t="s">
        <v>59</v>
      </c>
      <c r="I27" s="66" t="s">
        <v>91</v>
      </c>
    </row>
    <row r="28" spans="1:9" ht="12.75">
      <c r="A28" s="52">
        <f>A29-1</f>
        <v>12</v>
      </c>
      <c r="B28" s="41">
        <f>DEGREES(ASIN(COS(RADIANS(F$26))*SIN(RADIANS(A28))))</f>
        <v>7.839718349260241</v>
      </c>
      <c r="C28" s="24" t="str">
        <f>IF(B28&lt;0,"-","+")&amp;TEXT(INT(ABS(B28)),"0")&amp;CHAR(176)&amp;TEXT(60*(ABS(B28)-INT(ABS(B28)))," 00")&amp;"'"</f>
        <v>+7° 50'</v>
      </c>
      <c r="D28" s="29">
        <f>1/((1-(COS(RADIANS(F$26))*SIN(RADIANS(A28)))^2)^-0.5*COS(RADIANS(F$26))*COS(RADIANS(A28)))</f>
        <v>1.5437411367937255</v>
      </c>
      <c r="E28" s="41">
        <f>DEGREES(ATAN(TAN(RADIANS(F$26))/COS(RADIANS(A28))))</f>
        <v>49.62579398705042</v>
      </c>
      <c r="F28" s="16" t="str">
        <f>IF(E28&lt;0,"-","+")&amp;TEXT(INT(ABS(E28)),"0")&amp;CHAR(176)&amp;TEXT(60*(ABS(E28)-INT(ABS(E28)))," 00")&amp;"'"</f>
        <v>+49° 38'</v>
      </c>
      <c r="G28" s="29">
        <f>(1+(TAN(RADIANS(F$26))/COS(RADIANS(A28)))^2)^-1*TAN(RADIANS(F$26))*(TAN(RADIANS(A28))/COS(RADIANS(A28)))</f>
        <v>0.10489580351406702</v>
      </c>
      <c r="H28" s="30">
        <f>90-A28</f>
        <v>78</v>
      </c>
      <c r="I28" s="47">
        <f>DEGREES(ASIN(SIN(RADIANS(A28))*SIN(RADIANS(90-E28))/SIN(RADIANS(B28))))</f>
        <v>80.88634632905142</v>
      </c>
    </row>
    <row r="29" spans="1:9" ht="12.75">
      <c r="A29" s="52">
        <f>ROUND(DEGREES(ASIN(SIN(RADIANS(ABS(D5)))/COS(RADIANS(ABS(D24))))),0)</f>
        <v>13</v>
      </c>
      <c r="B29" s="41">
        <f>DEGREES(ASIN(COS(RADIANS(F$26))*SIN(RADIANS(A29))))</f>
        <v>8.486777753215275</v>
      </c>
      <c r="C29" s="24" t="str">
        <f>IF(B29&lt;0,"-","+")&amp;TEXT(INT(ABS(B29)),"0")&amp;CHAR(176)&amp;TEXT(60*(ABS(B29)-INT(ABS(B29)))," 00")&amp;"'"</f>
        <v>+8° 29'</v>
      </c>
      <c r="D29" s="29">
        <f>1/((1-(COS(RADIANS(F$26))*SIN(RADIANS(A29)))^2)^-0.5*COS(RADIANS(F$26))*COS(RADIANS(A29)))</f>
        <v>1.5472175198154736</v>
      </c>
      <c r="E29" s="41">
        <f>DEGREES(ATAN(TAN(RADIANS(F$26))/COS(RADIANS(A29))))</f>
        <v>49.735168030983836</v>
      </c>
      <c r="F29" s="16" t="str">
        <f>IF(E29&lt;0,"-","+")&amp;TEXT(INT(ABS(E29)),"0")&amp;CHAR(176)&amp;TEXT(60*(ABS(E29)-INT(ABS(E29)))," 00")&amp;"'"</f>
        <v>+49° 44'</v>
      </c>
      <c r="G29" s="29">
        <f>(1+(TAN(RADIANS(F$26))/COS(RADIANS(A29)))^2)^-1*TAN(RADIANS(F$26))*(TAN(RADIANS(A29))/COS(RADIANS(A29)))</f>
        <v>0.11386083504005239</v>
      </c>
      <c r="H29" s="30">
        <f>90-A29</f>
        <v>77</v>
      </c>
      <c r="I29" s="47">
        <f>DEGREES(ASIN(SIN(RADIANS(A29))*SIN(RADIANS(90-E29))/SIN(RADIANS(B29))))</f>
        <v>80.11609779048797</v>
      </c>
    </row>
    <row r="30" spans="1:9" ht="12.75">
      <c r="A30" s="52">
        <f>A29+1</f>
        <v>14</v>
      </c>
      <c r="B30" s="41">
        <f>DEGREES(ASIN(COS(RADIANS(F$26))*SIN(RADIANS(A30))))</f>
        <v>9.132320649558046</v>
      </c>
      <c r="C30" s="24" t="str">
        <f>IF(B30&lt;0,"-","+")&amp;TEXT(INT(ABS(B30)),"0")&amp;CHAR(176)&amp;TEXT(60*(ABS(B30)-INT(ABS(B30)))," 00")&amp;"'"</f>
        <v>+9° 08'</v>
      </c>
      <c r="D30" s="29">
        <f>1/((1-(COS(RADIANS(F$26))*SIN(RADIANS(A30)))^2)^-0.5*COS(RADIANS(F$26))*COS(RADIANS(A30)))</f>
        <v>1.551003753728858</v>
      </c>
      <c r="E30" s="41">
        <f>DEGREES(ATAN(TAN(RADIANS(F$26))/COS(RADIANS(A30))))</f>
        <v>49.853533417736784</v>
      </c>
      <c r="F30" s="16" t="str">
        <f>IF(E30&lt;0,"-","+")&amp;TEXT(INT(ABS(E30)),"0")&amp;CHAR(176)&amp;TEXT(60*(ABS(E30)-INT(ABS(E30)))," 00")&amp;"'"</f>
        <v>+49° 51'</v>
      </c>
      <c r="G30" s="29">
        <f>(1+(TAN(RADIANS(F$26))/COS(RADIANS(A30)))^2)^-1*TAN(RADIANS(F$26))*(TAN(RADIANS(A30))/COS(RADIANS(A30)))</f>
        <v>0.12287914704414733</v>
      </c>
      <c r="H30" s="30">
        <f>90-A30</f>
        <v>76</v>
      </c>
      <c r="I30" s="47">
        <f>DEGREES(ASIN(SIN(RADIANS(A30))*SIN(RADIANS(90-E30))/SIN(RADIANS(B30))))</f>
        <v>79.34325194778899</v>
      </c>
    </row>
    <row r="31" spans="1:19" ht="12.75">
      <c r="A31" s="75" t="s">
        <v>22</v>
      </c>
      <c r="C31" s="35" t="s">
        <v>61</v>
      </c>
      <c r="D31" s="35"/>
      <c r="F31" s="35" t="s">
        <v>62</v>
      </c>
      <c r="G31" s="35"/>
      <c r="H31" s="35"/>
      <c r="I31" s="66" t="s">
        <v>84</v>
      </c>
      <c r="J31" s="1"/>
      <c r="K31" s="24"/>
      <c r="M31" s="35"/>
      <c r="N31" s="35"/>
      <c r="O31" s="35"/>
      <c r="P31" s="35"/>
      <c r="Q31" s="35"/>
      <c r="R31" s="1"/>
      <c r="S31" s="35"/>
    </row>
    <row r="32" spans="1:19" ht="12.75">
      <c r="A32" s="69"/>
      <c r="B32" s="53"/>
      <c r="C32" s="55"/>
      <c r="D32" s="72"/>
      <c r="E32" s="42" t="s">
        <v>60</v>
      </c>
      <c r="F32" s="62">
        <f>F26</f>
        <v>49</v>
      </c>
      <c r="G32" s="55"/>
      <c r="H32" s="55"/>
      <c r="I32" s="54"/>
      <c r="J32" s="1"/>
      <c r="K32" s="24"/>
      <c r="L32" s="34"/>
      <c r="M32" s="39"/>
      <c r="N32" s="38"/>
      <c r="P32" s="40"/>
      <c r="Q32" s="35"/>
      <c r="R32" s="1"/>
      <c r="S32" s="1"/>
    </row>
    <row r="33" spans="3:6" ht="12.75">
      <c r="C33" s="16" t="s">
        <v>105</v>
      </c>
      <c r="D33" s="64">
        <f>ABS(D5)-B29</f>
        <v>-0.29677775321527555</v>
      </c>
      <c r="E33" s="16" t="str">
        <f>IF(D33&lt;0,"-","+")&amp;TEXT(INT(ABS(D33)),"0")&amp;CHAR(176)&amp;TEXT(60*(ABS(D33)-INT(ABS(D33)))," #0.0")&amp;"'"</f>
        <v>-0° 17.8'</v>
      </c>
      <c r="F33" s="7"/>
    </row>
    <row r="34" spans="3:6" ht="12.75">
      <c r="C34" s="16" t="s">
        <v>77</v>
      </c>
      <c r="D34" s="49">
        <f>D29</f>
        <v>1.5472175198154736</v>
      </c>
      <c r="F34" s="7"/>
    </row>
    <row r="35" spans="3:6" ht="12.75">
      <c r="C35" s="16" t="s">
        <v>103</v>
      </c>
      <c r="D35" s="64">
        <f>D29*D33</f>
        <v>-0.45917973926614736</v>
      </c>
      <c r="E35" s="16" t="str">
        <f>IF(D35&lt;0,"-","+")&amp;TEXT(INT(ABS(D35)),"0")&amp;CHAR(176)&amp;TEXT(60*(ABS(D35)-INT(ABS(D35)))," #0.0")&amp;"'"</f>
        <v>-0° 27.6'</v>
      </c>
      <c r="F35" s="7"/>
    </row>
    <row r="36" spans="3:6" ht="12.75">
      <c r="C36" s="16" t="s">
        <v>46</v>
      </c>
      <c r="D36" s="64">
        <f>A29+D35</f>
        <v>12.540820260733852</v>
      </c>
      <c r="E36" s="16" t="str">
        <f>IF(D36&lt;0,"-","+")&amp;TEXT(INT(ABS(D36)),"0")&amp;CHAR(176)&amp;TEXT(60*(ABS(D36)-INT(ABS(D36)))," #0.0")&amp;"'"</f>
        <v>+12° 32.4'</v>
      </c>
      <c r="F36" s="7"/>
    </row>
    <row r="37" spans="3:6" ht="12.75">
      <c r="C37" s="16" t="s">
        <v>98</v>
      </c>
      <c r="D37" s="64">
        <f>D36-A29</f>
        <v>-0.45917973926614764</v>
      </c>
      <c r="E37" s="16" t="str">
        <f>IF(D37&lt;0,"-","+")&amp;TEXT(INT(ABS(D37)),"0")&amp;CHAR(176)&amp;TEXT(60*(ABS(D37)-INT(ABS(D37)))," #0.0")&amp;"'"</f>
        <v>-0° 27.6'</v>
      </c>
      <c r="F37" s="7"/>
    </row>
    <row r="38" spans="3:9" ht="12.75">
      <c r="C38" s="16" t="s">
        <v>64</v>
      </c>
      <c r="D38" s="49">
        <f>G29</f>
        <v>0.11386083504005239</v>
      </c>
      <c r="F38" s="7"/>
      <c r="G38" s="67" t="s">
        <v>66</v>
      </c>
      <c r="H38" s="70"/>
      <c r="I38" s="51"/>
    </row>
    <row r="39" spans="3:9" ht="12.75">
      <c r="C39" s="16" t="s">
        <v>93</v>
      </c>
      <c r="D39" s="7">
        <f>D37*G29</f>
        <v>-0.0522825885463171</v>
      </c>
      <c r="E39" s="16" t="str">
        <f>IF(D39&lt;0,"-","+")&amp;TEXT(INT(ABS(D39)),"0")&amp;CHAR(176)&amp;TEXT(60*(ABS(D39)-INT(ABS(D39)))," #0.0")&amp;"'"</f>
        <v>-0° 3.1'</v>
      </c>
      <c r="G39" s="73" t="s">
        <v>62</v>
      </c>
      <c r="H39" s="46">
        <f>DEGREES(ASIN(SIN(RADIANS(ABS(D5)))/COS(RADIANS(ABS(D24)))))</f>
        <v>12.541064296590742</v>
      </c>
      <c r="I39" s="65" t="str">
        <f>IF(H39&lt;0,"-","+")&amp;TEXT(INT(ABS(H39)),"0")&amp;CHAR(176)&amp;TEXT(60*(ABS(H39)-INT(ABS(H39)))," #0.0")&amp;"'"</f>
        <v>+12° 32.5'</v>
      </c>
    </row>
    <row r="40" spans="3:9" ht="12.75">
      <c r="C40" s="16" t="s">
        <v>115</v>
      </c>
      <c r="D40" s="7">
        <f>E29+D39</f>
        <v>49.68288544243752</v>
      </c>
      <c r="E40" s="16" t="str">
        <f>IF(D40&lt;0,"-","+")&amp;TEXT(INT(ABS(D40)),"0")&amp;CHAR(176)&amp;TEXT(60*(ABS(D40)-INT(ABS(D40)))," #0.0")&amp;"'"</f>
        <v>+49° 41.0'</v>
      </c>
      <c r="G40" s="48" t="s">
        <v>22</v>
      </c>
      <c r="H40" s="60">
        <f>DEGREES(ATAN(TAN(RADIANS(ABS(D24)))/COS(RADIANS(H39))))</f>
        <v>49.6838592300179</v>
      </c>
      <c r="I40" s="74" t="str">
        <f>IF(H40&lt;0,"-","+")&amp;TEXT(INT(ABS(H40)),"0")&amp;CHAR(176)&amp;TEXT(60*(ABS(H40)-INT(ABS(H40)))," #0.0")&amp;"'"</f>
        <v>+49° 41.0'</v>
      </c>
    </row>
    <row r="41" spans="4:9" ht="12.75">
      <c r="D41" s="7"/>
      <c r="H41" s="46"/>
      <c r="I41" s="70"/>
    </row>
    <row r="42" spans="1:8" ht="12.75">
      <c r="A42" s="16" t="s">
        <v>111</v>
      </c>
      <c r="D42" s="7"/>
      <c r="H42" s="46"/>
    </row>
    <row r="43" spans="1:8" ht="12.75">
      <c r="A43" s="16" t="s">
        <v>87</v>
      </c>
      <c r="D43" s="7">
        <f>D7</f>
        <v>-49.901666666666664</v>
      </c>
      <c r="E43" s="16" t="s">
        <v>83</v>
      </c>
      <c r="H43" s="46"/>
    </row>
    <row r="44" spans="1:8" ht="12.75">
      <c r="A44" s="16" t="s">
        <v>107</v>
      </c>
      <c r="D44" s="7">
        <f>D8</f>
        <v>-77</v>
      </c>
      <c r="E44" s="16" t="s">
        <v>109</v>
      </c>
      <c r="H44" s="46"/>
    </row>
    <row r="45" spans="1:8" ht="12.75">
      <c r="A45" s="16" t="s">
        <v>80</v>
      </c>
      <c r="D45" s="7">
        <f>D43-D44</f>
        <v>27.098333333333336</v>
      </c>
      <c r="E45" s="16" t="s">
        <v>83</v>
      </c>
      <c r="H45" s="46"/>
    </row>
    <row r="46" spans="4:8" ht="12.75">
      <c r="D46" s="7"/>
      <c r="H46" s="46"/>
    </row>
    <row r="47" spans="1:8" ht="12.75">
      <c r="A47" s="16" t="s">
        <v>75</v>
      </c>
      <c r="D47" s="7">
        <f>D40</f>
        <v>49.68288544243752</v>
      </c>
      <c r="E47" s="16" t="s">
        <v>76</v>
      </c>
      <c r="H47" s="46"/>
    </row>
    <row r="48" spans="1:8" ht="12.75">
      <c r="A48" s="16" t="s">
        <v>102</v>
      </c>
      <c r="D48" s="7">
        <f>IF(ABS(D7)&gt;90,SIGN(D7)*(180-D47),SIGN(D7)*D47)</f>
        <v>-49.68288544243752</v>
      </c>
      <c r="F48" s="7">
        <f>RADIANS(D48)</f>
        <v>-0.8671299328616944</v>
      </c>
      <c r="H48" s="46"/>
    </row>
    <row r="49" spans="1:8" ht="12.75">
      <c r="A49" s="16" t="s">
        <v>69</v>
      </c>
      <c r="D49" s="7">
        <f>D48-D45</f>
        <v>-76.78121877577085</v>
      </c>
      <c r="H49" s="46"/>
    </row>
    <row r="50" spans="1:8" ht="12.75">
      <c r="A50" s="16" t="s">
        <v>97</v>
      </c>
      <c r="D50" s="7">
        <f>D49</f>
        <v>-76.78121877577085</v>
      </c>
      <c r="E50" s="76" t="str">
        <f>IF(D50&lt;0,"-","+")&amp;TEXT(INT(ABS(D50)),"0")&amp;CHAR(176)&amp;TEXT(60*(ABS(D50)-INT(ABS(D50)))," #0.0")&amp;"'"</f>
        <v>-76° 46.9'</v>
      </c>
      <c r="F50" s="7">
        <f>RADIANS(D50)</f>
        <v>-1.340085071331291</v>
      </c>
      <c r="H50" s="46"/>
    </row>
    <row r="51" ht="12.75">
      <c r="D51" s="7"/>
    </row>
    <row r="52" ht="12.75">
      <c r="A52" s="16" t="s">
        <v>92</v>
      </c>
    </row>
    <row r="53" spans="1:18" ht="12.75">
      <c r="A53" s="16" t="s">
        <v>24</v>
      </c>
      <c r="C53" s="16" t="s">
        <v>25</v>
      </c>
      <c r="I53" s="24" t="str">
        <f>IF(OR(AND(F5&gt;0,F6&gt;0),AND(F5&lt;0,F6&lt;0)),"same","contrary")</f>
        <v>contrary</v>
      </c>
      <c r="J53" s="24" t="str">
        <f>IF(ABS(D7)&lt;90,"t&lt;90","t&gt;90")</f>
        <v>t&lt;90</v>
      </c>
      <c r="K53" s="24" t="str">
        <f>IF(D6&lt;D36,"L&lt;b","L&gt;b")</f>
        <v>L&gt;b</v>
      </c>
      <c r="L53" s="24"/>
      <c r="M53" s="24" t="s">
        <v>27</v>
      </c>
      <c r="N53" s="24" t="s">
        <v>28</v>
      </c>
      <c r="P53" s="16" t="s">
        <v>29</v>
      </c>
      <c r="R53" s="16" t="s">
        <v>116</v>
      </c>
    </row>
    <row r="54" spans="1:18" ht="12.75">
      <c r="A54" s="16" t="s">
        <v>10</v>
      </c>
      <c r="B54" s="16" t="s">
        <v>30</v>
      </c>
      <c r="C54" s="16" t="s">
        <v>1</v>
      </c>
      <c r="D54" s="16" t="s">
        <v>3</v>
      </c>
      <c r="E54" s="16" t="str">
        <f>IF(OR(AND(D36&gt;0,F40&gt;0),AND(F36&lt;0,F40&lt;0)),"same","contrary")</f>
        <v>contrary</v>
      </c>
      <c r="F54" s="25" t="s">
        <v>6</v>
      </c>
      <c r="H54" s="20" t="s">
        <v>8</v>
      </c>
      <c r="I54" s="16" t="b">
        <f>IF(I53="same",TRUE,FALSE)</f>
        <v>0</v>
      </c>
      <c r="J54" s="16" t="b">
        <f>IF(ABS(D7)&lt;90,TRUE,FALSE)</f>
        <v>1</v>
      </c>
      <c r="K54" s="16" t="b">
        <f>IF(ABS(D6)&lt;D36,TRUE,FALSE)</f>
        <v>0</v>
      </c>
      <c r="L54" s="16" t="str">
        <f>IF(OR(I54=FALSE,J54=FALSE,K54=FALSE),"not this case","yes")</f>
        <v>not this case</v>
      </c>
      <c r="M54" s="7" t="str">
        <f>IF(L54="yes",D36-ABS(D6),"")</f>
        <v/>
      </c>
      <c r="N54" s="7" t="str">
        <f>IF(M54&lt;&gt;"",90-M54,"")</f>
        <v/>
      </c>
      <c r="P54" s="16" t="str">
        <f>IF(AND(M54&lt;&gt;""),IF(F54="Z&gt;90",L$86,H$86),".")</f>
        <v>.</v>
      </c>
      <c r="R54" s="7" t="str">
        <f>IF(M54&lt;&gt;"",SIGN(D$6)*(ABS(D$6)+(M54-INT(M54))),".")</f>
        <v>.</v>
      </c>
    </row>
    <row r="55" spans="1:18" ht="12.75">
      <c r="A55" s="16" t="s">
        <v>10</v>
      </c>
      <c r="B55" s="16" t="s">
        <v>30</v>
      </c>
      <c r="C55" s="16" t="s">
        <v>31</v>
      </c>
      <c r="D55" s="16" t="s">
        <v>33</v>
      </c>
      <c r="F55" s="12" t="s">
        <v>34</v>
      </c>
      <c r="I55" s="16" t="b">
        <f>IF(I53="same",TRUE,FALSE)</f>
        <v>0</v>
      </c>
      <c r="J55" s="16" t="b">
        <f>IF(ABS(D7)&lt;90,TRUE,FALSE)</f>
        <v>1</v>
      </c>
      <c r="K55" s="16" t="b">
        <f>NOT(IF(ABS(D6)&lt;D36,TRUE,FALSE))</f>
        <v>1</v>
      </c>
      <c r="L55" s="16" t="str">
        <f>IF(OR(I55=FALSE,J55=FALSE,K55=FALSE),"not this case","yes")</f>
        <v>not this case</v>
      </c>
      <c r="M55" s="7" t="str">
        <f>IF(L55="yes",ABS(ABS(D6)-D36),"")</f>
        <v/>
      </c>
      <c r="N55" s="7" t="str">
        <f>IF(M55&lt;&gt;"",90-M55,"")</f>
        <v/>
      </c>
      <c r="P55" s="2" t="str">
        <f>IF(AND(M55&lt;&gt;""),IF(F55="Z&gt;90",L$86,H$86),".")</f>
        <v>.</v>
      </c>
      <c r="R55" s="7" t="str">
        <f>IF(M55&lt;&gt;"",SIGN(D$6)*(ABS(D$6)-(M55-INT(M55))),".")</f>
        <v>.</v>
      </c>
    </row>
    <row r="56" spans="1:18" ht="12.75">
      <c r="A56" s="16" t="s">
        <v>10</v>
      </c>
      <c r="B56" s="16" t="s">
        <v>12</v>
      </c>
      <c r="D56" s="16" t="s">
        <v>15</v>
      </c>
      <c r="F56" s="25" t="s">
        <v>6</v>
      </c>
      <c r="I56" s="16" t="b">
        <f>IF(I53="same",TRUE,FALSE)</f>
        <v>0</v>
      </c>
      <c r="J56" s="16" t="b">
        <f>NOT(IF(ABS(D7)&lt;90,TRUE,FALSE))</f>
        <v>0</v>
      </c>
      <c r="K56" s="16" t="s">
        <v>17</v>
      </c>
      <c r="L56" s="16" t="str">
        <f>IF(OR(I56=FALSE,J56=FALSE,K56=FALSE),"not this case","yes")</f>
        <v>not this case</v>
      </c>
      <c r="M56" s="7" t="str">
        <f>IF(L56="yes",180-(ABS(D6)+D36),"")</f>
        <v/>
      </c>
      <c r="N56" s="7" t="str">
        <f>IF(M56&lt;&gt;"",90-M56,"")</f>
        <v/>
      </c>
      <c r="P56" s="16" t="str">
        <f>IF(AND(M56&lt;&gt;""),IF(F56="Z&gt;90",L$86,H$86),".")</f>
        <v>.</v>
      </c>
      <c r="R56" s="7" t="str">
        <f>IF(M56&lt;&gt;"",SIGN(D$6)*(ABS(D$6)+(M56-INT(M56))),".")</f>
        <v>.</v>
      </c>
    </row>
    <row r="57" spans="1:18" ht="12.75">
      <c r="A57" s="16" t="s">
        <v>43</v>
      </c>
      <c r="D57" s="16" t="s">
        <v>49</v>
      </c>
      <c r="F57" s="12" t="s">
        <v>34</v>
      </c>
      <c r="I57" s="16" t="b">
        <f>NOT(IF(I53="same",TRUE,FALSE))</f>
        <v>1</v>
      </c>
      <c r="J57" s="16" t="s">
        <v>17</v>
      </c>
      <c r="K57" s="16" t="s">
        <v>17</v>
      </c>
      <c r="L57" s="16" t="str">
        <f>IF(OR(I57=FALSE,J57=FALSE,K57=FALSE),"not this case","yes")</f>
        <v>yes</v>
      </c>
      <c r="M57" s="7">
        <f>IF(L57="yes",ABS(D6)+D36,"")</f>
        <v>51.54082026073385</v>
      </c>
      <c r="N57" s="7">
        <f>IF(M57&lt;&gt;"",90-M57,"")</f>
        <v>38.45917973926615</v>
      </c>
      <c r="P57" s="16">
        <f>IF(AND(M57&lt;&gt;""),IF(F57="Z&gt;90",L$86,H$86),".")</f>
        <v>124.04149212311006</v>
      </c>
      <c r="R57" s="7">
        <f>IF(M57&lt;&gt;"",SIGN(D$6)*(ABS(D$6)-(M57-INT(M57))),".")</f>
        <v>38.45917973926615</v>
      </c>
    </row>
    <row r="58" spans="13:19" ht="12.75">
      <c r="M58" s="7">
        <f>MAX(M54:M57)</f>
        <v>51.54082026073385</v>
      </c>
      <c r="N58" s="7">
        <f>MAX(N54:N57)</f>
        <v>38.45917973926615</v>
      </c>
      <c r="P58" s="2">
        <f>MAX(P54:P57)</f>
        <v>124.04149212311006</v>
      </c>
      <c r="R58" s="7">
        <f>MAX(R54:R57)</f>
        <v>38.45917973926615</v>
      </c>
      <c r="S58" s="16" t="str">
        <f>IF(R58&lt;0,"-","+")&amp;TEXT(INT(ABS(R58)),"0")&amp;CHAR(176)&amp;TEXT(60*(ABS(R58)-INT(ABS(R58)))," #0.0")&amp;"'"</f>
        <v>+38° 27.6'</v>
      </c>
    </row>
    <row r="59" spans="1:16" ht="12.75">
      <c r="A59" s="16" t="s">
        <v>104</v>
      </c>
      <c r="N59" s="7"/>
      <c r="P59" s="2"/>
    </row>
    <row r="60" spans="1:16" ht="12.75">
      <c r="A60" s="20" t="s">
        <v>71</v>
      </c>
      <c r="D60" s="7">
        <f>R58</f>
        <v>38.45917973926615</v>
      </c>
      <c r="E60" s="76" t="str">
        <f>IF(D60&lt;0,"-","+")&amp;TEXT(INT(ABS(D60)),"0")&amp;CHAR(176)&amp;TEXT(60*(ABS(D60)-INT(ABS(D60)))," #0.0")&amp;"'"</f>
        <v>+38° 27.6'</v>
      </c>
      <c r="F60" s="7">
        <f>RADIANS(D60)</f>
        <v>0.6712393140664886</v>
      </c>
      <c r="N60" s="7"/>
      <c r="P60" s="2"/>
    </row>
    <row r="61" spans="1:16" ht="12.75">
      <c r="A61" s="20" t="s">
        <v>100</v>
      </c>
      <c r="D61" s="7">
        <f>INT(M58)</f>
        <v>51</v>
      </c>
      <c r="N61" s="7"/>
      <c r="P61" s="2"/>
    </row>
    <row r="62" spans="1:16" ht="12.75">
      <c r="A62" s="20"/>
      <c r="D62" s="7"/>
      <c r="N62" s="7"/>
      <c r="P62" s="2"/>
    </row>
    <row r="63" spans="1:16" ht="12.75">
      <c r="A63" s="16" t="s">
        <v>94</v>
      </c>
      <c r="D63" s="7"/>
      <c r="N63" s="7"/>
      <c r="P63" s="2"/>
    </row>
    <row r="64" spans="2:16" ht="15.75">
      <c r="B64" s="43"/>
      <c r="C64" s="43"/>
      <c r="D64" s="43"/>
      <c r="E64" s="45" t="s">
        <v>20</v>
      </c>
      <c r="F64" s="68">
        <f>F26</f>
        <v>49</v>
      </c>
      <c r="G64" s="43"/>
      <c r="H64" s="43"/>
      <c r="I64" s="63"/>
      <c r="N64" s="7"/>
      <c r="P64" s="2"/>
    </row>
    <row r="65" spans="1:16" ht="12.75">
      <c r="A65" s="75" t="s">
        <v>56</v>
      </c>
      <c r="C65" s="35" t="s">
        <v>57</v>
      </c>
      <c r="D65" s="35" t="s">
        <v>89</v>
      </c>
      <c r="F65" s="35" t="s">
        <v>58</v>
      </c>
      <c r="G65" s="35" t="s">
        <v>90</v>
      </c>
      <c r="H65" s="35" t="s">
        <v>59</v>
      </c>
      <c r="I65" s="66" t="s">
        <v>91</v>
      </c>
      <c r="N65" s="7"/>
      <c r="P65" s="2"/>
    </row>
    <row r="66" spans="1:16" ht="12.75">
      <c r="A66" s="52">
        <f>A67-1</f>
        <v>38</v>
      </c>
      <c r="B66" s="41">
        <f>DEGREES(ASIN(COS(RADIANS(F$26))*SIN(RADIANS(A66))))</f>
        <v>23.822857042721772</v>
      </c>
      <c r="C66" s="24" t="str">
        <f>IF(B66&lt;0,"-","+")&amp;TEXT(INT(ABS(B66)),"0")&amp;CHAR(176)&amp;TEXT(60*(ABS(B66)-INT(ABS(B66)))," 00")&amp;"'"</f>
        <v>+23° 49'</v>
      </c>
      <c r="D66" s="29">
        <f>1/((1-(COS(RADIANS(F$26))*SIN(RADIANS(A66)))^2)^-0.5*COS(RADIANS(F$26))*COS(RADIANS(A66)))</f>
        <v>1.7694994595908016</v>
      </c>
      <c r="E66" s="41">
        <f>DEGREES(ATAN(TAN(RADIANS(F$26))/COS(RADIANS(A66))))</f>
        <v>55.58857203956548</v>
      </c>
      <c r="F66" s="16" t="str">
        <f>IF(E66&lt;0,"-","+")&amp;TEXT(INT(ABS(E66)),"0")&amp;CHAR(176)&amp;TEXT(60*(ABS(E66)-INT(ABS(E66)))," 00")&amp;"'"</f>
        <v>+55° 35'</v>
      </c>
      <c r="G66" s="29">
        <f>(1+(TAN(RADIANS(F$26))/COS(RADIANS(A66)))^2)^-1*TAN(RADIANS(F$26))*(TAN(RADIANS(A66))/COS(RADIANS(A66)))</f>
        <v>0.3642619161776909</v>
      </c>
      <c r="H66" s="30">
        <f>90-A66</f>
        <v>52</v>
      </c>
      <c r="I66" s="47">
        <f>DEGREES(ASIN(SIN(RADIANS(A66))*SIN(RADIANS(90-E66))/SIN(RADIANS(B66))))</f>
        <v>59.47453865862481</v>
      </c>
      <c r="N66" s="7"/>
      <c r="P66" s="2"/>
    </row>
    <row r="67" spans="1:16" ht="12.75">
      <c r="A67" s="52">
        <f>90-D61</f>
        <v>39</v>
      </c>
      <c r="B67" s="41">
        <f>DEGREES(ASIN(COS(RADIANS(F$26))*SIN(RADIANS(A67))))</f>
        <v>24.38533501081834</v>
      </c>
      <c r="C67" s="24" t="str">
        <f>IF(B67&lt;0,"-","+")&amp;TEXT(INT(ABS(B67)),"0")&amp;CHAR(176)&amp;TEXT(60*(ABS(B67)-INT(ABS(B67)))," 00")&amp;"'"</f>
        <v>+24° 23'</v>
      </c>
      <c r="D67" s="29">
        <f>1/((1-(COS(RADIANS(F$26))*SIN(RADIANS(A67)))^2)^-0.5*COS(RADIANS(F$26))*COS(RADIANS(A67)))</f>
        <v>1.7863742094167117</v>
      </c>
      <c r="E67" s="41">
        <f>DEGREES(ATAN(TAN(RADIANS(F$26))/COS(RADIANS(A67))))</f>
        <v>55.95850787688993</v>
      </c>
      <c r="F67" s="16" t="str">
        <f>IF(E67&lt;0,"-","+")&amp;TEXT(INT(ABS(E67)),"0")&amp;CHAR(176)&amp;TEXT(60*(ABS(E67)-INT(ABS(E67)))," 00")&amp;"'"</f>
        <v>+55° 58'</v>
      </c>
      <c r="G67" s="29">
        <f>(1+(TAN(RADIANS(F$26))/COS(RADIANS(A67)))^2)^-1*TAN(RADIANS(F$26))*(TAN(RADIANS(A67))/COS(RADIANS(A67)))</f>
        <v>0.3756286253542169</v>
      </c>
      <c r="H67" s="30">
        <f>90-A67</f>
        <v>51</v>
      </c>
      <c r="I67" s="47">
        <f>DEGREES(ASIN(SIN(RADIANS(A67))*SIN(RADIANS(90-E67))/SIN(RADIANS(B67))))</f>
        <v>58.56873836350285</v>
      </c>
      <c r="N67" s="7"/>
      <c r="P67" s="2"/>
    </row>
    <row r="68" spans="1:16" ht="12.75">
      <c r="A68" s="52">
        <f>A67+1</f>
        <v>40</v>
      </c>
      <c r="B68" s="41">
        <f>DEGREES(ASIN(COS(RADIANS(F$26))*SIN(RADIANS(A68))))</f>
        <v>24.94238020192842</v>
      </c>
      <c r="C68" s="24" t="str">
        <f>IF(B68&lt;0,"-","+")&amp;TEXT(INT(ABS(B68)),"0")&amp;CHAR(176)&amp;TEXT(60*(ABS(B68)-INT(ABS(B68)))," 00")&amp;"'"</f>
        <v>+24° 57'</v>
      </c>
      <c r="D68" s="29">
        <f>1/((1-(COS(RADIANS(F$26))*SIN(RADIANS(A68)))^2)^-0.5*COS(RADIANS(F$26))*COS(RADIANS(A68)))</f>
        <v>1.8041897905282538</v>
      </c>
      <c r="E68" s="41">
        <f>DEGREES(ATAN(TAN(RADIANS(F$26))/COS(RADIANS(A68))))</f>
        <v>56.339866827488784</v>
      </c>
      <c r="F68" s="16" t="str">
        <f>IF(E68&lt;0,"-","+")&amp;TEXT(INT(ABS(E68)),"0")&amp;CHAR(176)&amp;TEXT(60*(ABS(E68)-INT(ABS(E68)))," 00")&amp;"'"</f>
        <v>+56° 20'</v>
      </c>
      <c r="G68" s="29">
        <f>(1+(TAN(RADIANS(F$26))/COS(RADIANS(A68)))^2)^-1*TAN(RADIANS(F$26))*(TAN(RADIANS(A68))/COS(RADIANS(A68)))</f>
        <v>0.38710792986849035</v>
      </c>
      <c r="H68" s="30">
        <f>90-A68</f>
        <v>50</v>
      </c>
      <c r="I68" s="47">
        <f>DEGREES(ASIN(SIN(RADIANS(A68))*SIN(RADIANS(90-E68))/SIN(RADIANS(B68))))</f>
        <v>57.65487940789884</v>
      </c>
      <c r="N68" s="7"/>
      <c r="P68" s="2"/>
    </row>
    <row r="69" spans="1:16" ht="12.75">
      <c r="A69" s="75" t="s">
        <v>22</v>
      </c>
      <c r="C69" s="35" t="s">
        <v>61</v>
      </c>
      <c r="D69" s="35"/>
      <c r="F69" s="35" t="s">
        <v>62</v>
      </c>
      <c r="G69" s="35"/>
      <c r="H69" s="35"/>
      <c r="I69" s="66" t="s">
        <v>84</v>
      </c>
      <c r="N69" s="7"/>
      <c r="P69" s="2"/>
    </row>
    <row r="70" spans="1:16" ht="12.75">
      <c r="A70" s="69"/>
      <c r="B70" s="53"/>
      <c r="C70" s="55"/>
      <c r="D70" s="72"/>
      <c r="E70" s="42" t="s">
        <v>60</v>
      </c>
      <c r="F70" s="62">
        <f>F64</f>
        <v>49</v>
      </c>
      <c r="G70" s="55"/>
      <c r="H70" s="55"/>
      <c r="I70" s="54"/>
      <c r="N70" s="7"/>
      <c r="P70" s="2"/>
    </row>
    <row r="71" spans="1:16" ht="12.75">
      <c r="A71" s="16" t="s">
        <v>78</v>
      </c>
      <c r="D71" s="7">
        <f>B67</f>
        <v>24.38533501081834</v>
      </c>
      <c r="E71" s="14" t="str">
        <f>IF(D71&lt;0,"-","+")&amp;TEXT(INT(ABS(D71)),"0")&amp;CHAR(176)&amp;TEXT(60*(ABS(D71)-INT(ABS(D71)))," #0.0")&amp;"'"</f>
        <v>+24° 23.1'</v>
      </c>
      <c r="N71" s="7"/>
      <c r="P71" s="2"/>
    </row>
    <row r="72" spans="1:16" ht="12.75">
      <c r="A72" s="16" t="s">
        <v>54</v>
      </c>
      <c r="D72" s="7">
        <f>E67</f>
        <v>55.95850787688993</v>
      </c>
      <c r="E72" s="16" t="str">
        <f>IF(D72&lt;0,"-","+")&amp;TEXT(INT(ABS(D72)),"0")&amp;CHAR(176)&amp;TEXT(60*(ABS(D72)-INT(ABS(D72)))," #0.0")&amp;"'"</f>
        <v>+55° 57.5'</v>
      </c>
      <c r="N72" s="7"/>
      <c r="P72" s="2"/>
    </row>
    <row r="73" spans="4:16" ht="12.75">
      <c r="D73" s="7"/>
      <c r="F73" s="7"/>
      <c r="N73" s="7"/>
      <c r="P73" s="2"/>
    </row>
    <row r="74" spans="1:16" ht="12.75">
      <c r="A74" s="16" t="s">
        <v>19</v>
      </c>
      <c r="D74" s="7">
        <f>D9</f>
        <v>23.893333333333334</v>
      </c>
      <c r="E74" s="16" t="str">
        <f>IF(D74&lt;0,"-","+")&amp;TEXT(INT(ABS(D74)),"0")&amp;CHAR(176)&amp;TEXT(60*(ABS(D74)-INT(ABS(D74)))," #0.0")&amp;"'"</f>
        <v>+23° 53.6'</v>
      </c>
      <c r="F74" s="7"/>
      <c r="N74" s="7"/>
      <c r="P74" s="2"/>
    </row>
    <row r="75" spans="1:16" ht="12.75">
      <c r="A75" s="16" t="s">
        <v>65</v>
      </c>
      <c r="D75" s="7">
        <f>D9-D71</f>
        <v>-0.4920016774850069</v>
      </c>
      <c r="E75" s="58" t="str">
        <f>IF(D75&lt;0,"-","+")&amp;TEXT(INT(ABS(D75)),"0")&amp;CHAR(176)&amp;TEXT(60*(ABS(D75)-INT(ABS(D75)))," #0.0")&amp;"'"</f>
        <v>-0° 29.5'</v>
      </c>
      <c r="F75" s="16" t="str">
        <f>IF(D9&gt;D71,"toward","away")</f>
        <v>away</v>
      </c>
      <c r="N75" s="7"/>
      <c r="P75" s="2"/>
    </row>
    <row r="76" spans="14:16" ht="12.75">
      <c r="N76" s="7"/>
      <c r="P76" s="2"/>
    </row>
    <row r="77" spans="1:15" ht="12.75">
      <c r="A77" s="20" t="s">
        <v>54</v>
      </c>
      <c r="C77" s="2"/>
      <c r="D77" s="7">
        <f>D72</f>
        <v>55.95850787688993</v>
      </c>
      <c r="E77" s="14" t="str">
        <f>IF(D77&lt;0,"-","+")&amp;TEXT(INT(ABS(D77)),"0")&amp;CHAR(176)&amp;TEXT(60*(ABS(D77)-INT(ABS(D77)))," #0.")&amp;"'"</f>
        <v>+55° 58.'</v>
      </c>
      <c r="G77" s="7"/>
      <c r="M77" s="7"/>
      <c r="O77" s="7"/>
    </row>
    <row r="78" spans="1:14" ht="12.75">
      <c r="A78" s="20" t="s">
        <v>13</v>
      </c>
      <c r="C78" s="2"/>
      <c r="D78" s="7">
        <f>P58</f>
        <v>124.04149212311006</v>
      </c>
      <c r="E78" s="50" t="str">
        <f>IF(D78&lt;0,"-","+")&amp;TEXT(INT(ABS(D78)),"0")&amp;CHAR(176)&amp;TEXT(60*(ABS(D78)-INT(ABS(D78)))," #0.")&amp;"'"</f>
        <v>+124° 2.'</v>
      </c>
      <c r="F78" s="7">
        <f>INT(D78)+ROUND(60*(D78-INT(D78)),0)/60</f>
        <v>124.03333333333333</v>
      </c>
      <c r="G78" s="16" t="str">
        <f>IF(F78&lt;0,"-","+")&amp;TEXT(INT(ABS(F78)),"0")&amp;CHAR(176)&amp;TEXT(60*(ABS(F78)-INT(ABS(F78)))," #0.#0")&amp;"'"</f>
        <v>+124° 2.0'</v>
      </c>
      <c r="H78" s="16" t="s">
        <v>7</v>
      </c>
      <c r="M78" s="7"/>
      <c r="N78" s="7"/>
    </row>
    <row r="79" spans="1:9" ht="12.75">
      <c r="A79" s="20" t="s">
        <v>47</v>
      </c>
      <c r="C79" s="2"/>
      <c r="D79" s="7">
        <f>D71</f>
        <v>24.38533501081834</v>
      </c>
      <c r="E79" s="3" t="str">
        <f>IF(D79&lt;0,"-","+")&amp;TEXT(INT(ABS(D79)),"0")&amp;CHAR(176)&amp;TEXT(60*(ABS(D79)-INT(ABS(D79)))," ##.0")&amp;"'"</f>
        <v>+24° 23.1'</v>
      </c>
      <c r="F79" s="7">
        <f>INT(D79)+ROUND(60*(D79-INT(D79)),0)/60</f>
        <v>24.383333333333333</v>
      </c>
      <c r="G79" s="16" t="str">
        <f>IF(F79&lt;0,"-","+")&amp;TEXT(INT(ABS(F79)),"0")&amp;CHAR(176)&amp;TEXT(60*(ABS(F79)-INT(ABS(F79)))," #0.#0")&amp;"'"</f>
        <v>+24° 23.0'</v>
      </c>
      <c r="H79" s="7">
        <f>IF(D7&lt;0,D7+360,D7)</f>
        <v>310.09833333333336</v>
      </c>
      <c r="I79" s="16" t="str">
        <f>IF(H79&lt;0,"-","+")&amp;TEXT(INT(ABS(H79)),"0")&amp;CHAR(176)&amp;TEXT(60*(ABS(H79)-INT(ABS(H79)))," #0.0")&amp;"'"</f>
        <v>+310° 5.9'</v>
      </c>
    </row>
    <row r="80" spans="8:13" ht="12.75">
      <c r="H80" s="13" t="s">
        <v>35</v>
      </c>
      <c r="I80" s="21"/>
      <c r="L80" s="18" t="s">
        <v>37</v>
      </c>
      <c r="M80" s="4"/>
    </row>
    <row r="81" spans="1:13" ht="12.75">
      <c r="A81" s="57"/>
      <c r="C81" s="26" t="s">
        <v>13</v>
      </c>
      <c r="D81" s="7">
        <f>180+DEGREES(ATAN2(COS(F48)*SIN(F60)-TAN(F5)*COS(F60),SIN(F48)))</f>
        <v>124.04238294666911</v>
      </c>
      <c r="E81" s="9" t="str">
        <f>IF(D81&lt;0,"-","+")&amp;TEXT(INT(ABS(D81)),"0")&amp;CHAR(176)&amp;TEXT(60*(ABS(D81)-INT(ABS(D81)))," #0.0")&amp;"'"</f>
        <v>+124° 2.5'</v>
      </c>
      <c r="F81" s="7">
        <f>RADIANS(D81)</f>
        <v>2.1649479944390415</v>
      </c>
      <c r="G81" s="16" t="s">
        <v>13</v>
      </c>
      <c r="H81" s="22">
        <f>IF(AND(D6&gt;0,H79&gt;180),D72,".")</f>
        <v>55.95850787688993</v>
      </c>
      <c r="I81" s="23" t="str">
        <f>IF(H81&lt;&gt;".",IF(H81&lt;0,"-","+")&amp;TEXT(INT(ABS(H81)),"0")&amp;CHAR(176)&amp;TEXT(60*(ABS(H81)-INT(ABS(H81)))," ##.#")&amp;"'",".")</f>
        <v>+55° 57.5'</v>
      </c>
      <c r="L81" s="15" t="str">
        <f>IF(AND(D6&lt;0,H79&gt;180),D72,".")</f>
        <v>.</v>
      </c>
      <c r="M81" s="10" t="str">
        <f>IF(L81&lt;&gt;".",IF(L81&lt;0,"-","+")&amp;TEXT(INT(ABS(L81)),"0")&amp;CHAR(176)&amp;TEXT(60*(ABS(L81)-INT(ABS(L81)))," ##.#")&amp;"'",".")</f>
        <v>.</v>
      </c>
    </row>
    <row r="82" spans="2:13" ht="12.75">
      <c r="B82" s="26" t="s">
        <v>82</v>
      </c>
      <c r="C82" s="26" t="s">
        <v>47</v>
      </c>
      <c r="D82" s="7">
        <f>DEGREES(ASIN(SIN(F5)*SIN(F60)+COS(F5)*COS(F60)*COS(SIGN(F48)*F48)))</f>
        <v>24.385830250982213</v>
      </c>
      <c r="E82" s="9" t="str">
        <f>IF(D82&lt;0,"-","+")&amp;TEXT(INT(ABS(D82)),"0")&amp;CHAR(176)&amp;TEXT(60*(ABS(D82)-INT(ABS(D82)))," ##.0")&amp;"'"</f>
        <v>+24° 23.1'</v>
      </c>
      <c r="F82" s="7">
        <f>RADIANS(D82)</f>
        <v>0.4256130287120748</v>
      </c>
      <c r="H82" s="22" t="str">
        <f>IF(AND(D6&gt;0,H79&lt;180),360-D72,".")</f>
        <v>.</v>
      </c>
      <c r="I82" s="23" t="str">
        <f>IF(H82&lt;&gt;".",IF(H82&lt;0,"-","+")&amp;TEXT(INT(ABS(H82)),"0")&amp;CHAR(176)&amp;TEXT(60*(ABS(H82)-INT(ABS(H82)))," ##.#")&amp;"'",".")</f>
        <v>.</v>
      </c>
      <c r="L82" s="15" t="str">
        <f>IF(AND(D6&lt;0,H79&lt;180),360-D72,".")</f>
        <v>.</v>
      </c>
      <c r="M82" s="10" t="str">
        <f>IF(L82&lt;&gt;".",IF(L82&lt;0,"-","+")&amp;TEXT(INT(ABS(L82)),"0")&amp;CHAR(176)&amp;TEXT(60*(ABS(L82)-INT(ABS(L82)))," ##.#")&amp;"'",".")</f>
        <v>.</v>
      </c>
    </row>
    <row r="83" spans="6:13" ht="12.75">
      <c r="F83" s="7"/>
      <c r="H83" s="22" t="str">
        <f>IF(AND(D6&lt;0,H79&gt;180),180-D72,".")</f>
        <v>.</v>
      </c>
      <c r="I83" s="23" t="str">
        <f>IF(H83&lt;&gt;".",IF(H83&lt;0,"-","+")&amp;TEXT(INT(ABS(H83)),"0")&amp;CHAR(176)&amp;TEXT(60*(ABS(H83)-INT(ABS(H83)))," ##.#")&amp;"'",".")</f>
        <v>.</v>
      </c>
      <c r="L83" s="15">
        <f>IF(AND(D6&gt;0,H79&gt;180),180-D72,".")</f>
        <v>124.04149212311006</v>
      </c>
      <c r="M83" s="10" t="str">
        <f>IF(L83&lt;&gt;".",IF(L83&lt;0,"-","+")&amp;TEXT(INT(ABS(L83)),"0")&amp;CHAR(176)&amp;TEXT(60*(ABS(L83)-INT(ABS(L83)))," ##.#")&amp;"'",".")</f>
        <v>+124° 2.5'</v>
      </c>
    </row>
    <row r="84" spans="4:13" ht="12.75">
      <c r="D84" s="7"/>
      <c r="F84" s="7"/>
      <c r="H84" s="19" t="str">
        <f>IF(AND(D6&lt;0,H79&lt;180),180+D72,".")</f>
        <v>.</v>
      </c>
      <c r="I84" s="5" t="str">
        <f>IF(H84&lt;&gt;".",IF(H84&lt;0,"-","+")&amp;TEXT(INT(ABS(H84)),"0")&amp;CHAR(176)&amp;TEXT(60*(ABS(H84)-INT(ABS(H84)))," ##.#")&amp;"'",".")</f>
        <v>.</v>
      </c>
      <c r="L84" s="11" t="str">
        <f>IF(AND(D6&gt;0,H79&lt;180),180+D72,".")</f>
        <v>.</v>
      </c>
      <c r="M84" s="6" t="str">
        <f>IF(L84&lt;&gt;".",IF(L84&lt;0,"-","+")&amp;TEXT(INT(ABS(L84)),"0")&amp;CHAR(176)&amp;TEXT(60*(ABS(L84)-INT(ABS(L84)))," ##.#")&amp;"'",".")</f>
        <v>.</v>
      </c>
    </row>
    <row r="85" spans="4:6" ht="12.75">
      <c r="D85" s="7"/>
      <c r="F85" s="7"/>
    </row>
    <row r="86" spans="8:12" ht="12.75">
      <c r="H86" s="16">
        <f>MAX(H81:H84)</f>
        <v>55.95850787688993</v>
      </c>
      <c r="L86" s="16">
        <f>MAX(L81:L84)</f>
        <v>124.04149212311006</v>
      </c>
    </row>
    <row r="87" spans="1:2" ht="12.75">
      <c r="A87" s="46"/>
      <c r="B87" s="9"/>
    </row>
    <row r="88" spans="1:13" ht="12.75">
      <c r="A88" s="46"/>
      <c r="B88" s="9"/>
      <c r="K88" s="20" t="s">
        <v>53</v>
      </c>
      <c r="L88" s="2">
        <f>D8-1</f>
        <v>-78</v>
      </c>
      <c r="M88" s="2">
        <f>D6+1</f>
        <v>40</v>
      </c>
    </row>
    <row r="89" spans="11:13" ht="12.75">
      <c r="K89" s="20"/>
      <c r="L89" s="2">
        <f>L88+2</f>
        <v>-76</v>
      </c>
      <c r="M89" s="2">
        <f>M88</f>
        <v>40</v>
      </c>
    </row>
    <row r="90" spans="11:13" ht="12.75">
      <c r="K90" s="20"/>
      <c r="L90" s="2">
        <f>L89</f>
        <v>-76</v>
      </c>
      <c r="M90" s="2">
        <f>M89-2</f>
        <v>38</v>
      </c>
    </row>
    <row r="91" spans="11:13" ht="12.75">
      <c r="K91" s="20"/>
      <c r="L91" s="2">
        <f>L88</f>
        <v>-78</v>
      </c>
      <c r="M91" s="2">
        <f>M90</f>
        <v>38</v>
      </c>
    </row>
    <row r="92" spans="11:13" ht="12.75">
      <c r="K92" s="20"/>
      <c r="L92" s="2">
        <f>L88</f>
        <v>-78</v>
      </c>
      <c r="M92" s="2">
        <f>M88</f>
        <v>40</v>
      </c>
    </row>
    <row r="94" spans="11:13" ht="12.75">
      <c r="K94" s="20" t="s">
        <v>9</v>
      </c>
      <c r="L94" s="61">
        <f>D8</f>
        <v>-77</v>
      </c>
      <c r="M94" s="61">
        <f>D6</f>
        <v>39</v>
      </c>
    </row>
    <row r="95" spans="10:13" ht="12.75">
      <c r="J95" s="16" t="s">
        <v>79</v>
      </c>
      <c r="L95" s="61">
        <f>L94+(D9-H2)*SIN(RADIANS(H1))/COS(RADIANS(D6))</f>
        <v>-77.05143483251149</v>
      </c>
      <c r="M95" s="61">
        <f>M94+(D9-H2)*COS(RADIANS(H1))</f>
        <v>39.02702637118071</v>
      </c>
    </row>
    <row r="96" spans="12:13" ht="12.75">
      <c r="L96" s="61"/>
      <c r="M96" s="61"/>
    </row>
    <row r="97" spans="11:13" ht="12.75">
      <c r="K97" s="20" t="s">
        <v>74</v>
      </c>
      <c r="L97" s="61">
        <f>L95-SIN(RADIANS(H1-90))*0.75/COS(RADIANS(D6))</f>
        <v>-77.59198354508119</v>
      </c>
      <c r="M97" s="61">
        <f>M95-COS(RADIANS(H1-90))*0.75</f>
        <v>38.405714546394314</v>
      </c>
    </row>
    <row r="98" spans="12:13" ht="12.75">
      <c r="L98" s="61">
        <f>L95+SIN(RADIANS(H1-90))*0.75/COS(RADIANS(D6))</f>
        <v>-76.51088611994179</v>
      </c>
      <c r="M98" s="61">
        <f>M95+COS(RADIANS(H1-90))*0.75</f>
        <v>39.648338195967106</v>
      </c>
    </row>
    <row r="100" spans="11:13" ht="12.75">
      <c r="K100" s="20" t="s">
        <v>96</v>
      </c>
      <c r="L100" s="61">
        <f>D50</f>
        <v>-76.78121877577085</v>
      </c>
      <c r="M100" s="61">
        <f>D60</f>
        <v>38.45917973926615</v>
      </c>
    </row>
    <row r="101" spans="10:13" ht="12.75">
      <c r="J101" s="16" t="s">
        <v>117</v>
      </c>
      <c r="L101" s="61">
        <f>L100+D75*SIN(RADIANS(D78))/COS(RADIANS(D60))</f>
        <v>-77.3018595622482</v>
      </c>
      <c r="M101" s="61">
        <f>M100+D75*COS(RADIANS(D78))</f>
        <v>38.73459889550534</v>
      </c>
    </row>
    <row r="102" spans="12:13" ht="12.75">
      <c r="L102" s="61"/>
      <c r="M102" s="61"/>
    </row>
    <row r="103" spans="11:13" ht="12.75">
      <c r="K103" s="20" t="s">
        <v>113</v>
      </c>
      <c r="L103" s="61">
        <f>L101-SIN(RADIANS(D78-90))*0.75/COS(RADIANS(D60))</f>
        <v>-77.83802463022144</v>
      </c>
      <c r="M103" s="61">
        <f>M101-COS(RADIANS(D78-90))*0.75</f>
        <v>38.11312459389068</v>
      </c>
    </row>
    <row r="104" spans="12:13" ht="12.75">
      <c r="L104" s="61">
        <f>L101+SIN(RADIANS(D78-90))*0.75/COS(RADIANS(D60))</f>
        <v>-76.76569449427495</v>
      </c>
      <c r="M104" s="61">
        <f>M101+COS(RADIANS(D78-90))*0.75</f>
        <v>39.356073197120004</v>
      </c>
    </row>
    <row r="106" spans="10:13" ht="12.75">
      <c r="J106" s="35"/>
      <c r="K106" s="35" t="s">
        <v>85</v>
      </c>
      <c r="L106" s="71">
        <f>D50</f>
        <v>-76.78121877577085</v>
      </c>
      <c r="M106" s="59">
        <f>D60</f>
        <v>38.45917973926615</v>
      </c>
    </row>
    <row r="107" spans="10:13" ht="12.75">
      <c r="J107" s="39" t="s">
        <v>106</v>
      </c>
      <c r="K107" s="34"/>
      <c r="L107" s="71">
        <f>L106-(D82-D9)*SIN(RADIANS(D81))/COS(RADIANS(D60))</f>
        <v>-77.30237815590483</v>
      </c>
      <c r="M107" s="59">
        <f>M106-(D82-D9)*COS(RADIANS(D81))</f>
        <v>38.734882472552506</v>
      </c>
    </row>
    <row r="108" spans="10:13" ht="12.75">
      <c r="J108" s="35"/>
      <c r="L108" s="35"/>
      <c r="M108" s="59"/>
    </row>
    <row r="109" spans="10:13" ht="12.75">
      <c r="J109" s="24"/>
      <c r="K109" s="41"/>
      <c r="L109" s="71">
        <f>L107+SIN(RADIANS(D81-90))*0.75/COS(RADIANS(D60))</f>
        <v>-76.76620074837233</v>
      </c>
      <c r="M109" s="59">
        <f>M107+COS(RADIANS(D81-90))*0.75</f>
        <v>39.35635024642665</v>
      </c>
    </row>
    <row r="110" spans="1:19" ht="12.75">
      <c r="A110" s="28"/>
      <c r="B110" s="35"/>
      <c r="C110" s="35"/>
      <c r="D110" s="35"/>
      <c r="F110" s="29"/>
      <c r="G110" s="35"/>
      <c r="H110" s="35"/>
      <c r="I110" s="35"/>
      <c r="J110" s="24"/>
      <c r="K110" s="41"/>
      <c r="L110" s="71">
        <f>L107-SIN(RADIANS(D81-90))*0.75/COS(RADIANS(D60))</f>
        <v>-77.83855556343734</v>
      </c>
      <c r="M110" s="59">
        <f>M107-COS(RADIANS(D81-90))*0.75</f>
        <v>38.11341469867836</v>
      </c>
      <c r="O110" s="35"/>
      <c r="P110" s="1"/>
      <c r="Q110" s="35"/>
      <c r="R110" s="1"/>
      <c r="S110" s="1"/>
    </row>
    <row r="111" spans="1:19" ht="12.75">
      <c r="A111" s="24"/>
      <c r="B111" s="35"/>
      <c r="C111" s="35"/>
      <c r="D111" s="35"/>
      <c r="F111" s="33"/>
      <c r="G111" s="35"/>
      <c r="H111" s="35"/>
      <c r="I111" s="35"/>
      <c r="J111" s="1"/>
      <c r="P111" s="33"/>
      <c r="Q111" s="35"/>
      <c r="R111" s="1"/>
      <c r="S111" s="1"/>
    </row>
    <row r="112" spans="1:19" ht="12.75">
      <c r="A112" s="24"/>
      <c r="B112" s="35"/>
      <c r="C112" s="35"/>
      <c r="D112" s="38"/>
      <c r="F112" s="40"/>
      <c r="G112" s="35"/>
      <c r="H112" s="35"/>
      <c r="I112" s="35"/>
      <c r="J112" s="1"/>
      <c r="P112" s="40"/>
      <c r="Q112" s="35"/>
      <c r="R112" s="1"/>
      <c r="S112" s="1"/>
    </row>
    <row r="113" spans="1:19" ht="12.75">
      <c r="A113" s="24"/>
      <c r="B113" s="34"/>
      <c r="C113" s="35"/>
      <c r="D113" s="39"/>
      <c r="G113" s="35"/>
      <c r="H113" s="35"/>
      <c r="I113" s="35"/>
      <c r="J113" s="1"/>
      <c r="Q113" s="35"/>
      <c r="R113" s="1"/>
      <c r="S113" s="1"/>
    </row>
    <row r="114" spans="1:19" ht="12.75">
      <c r="A114" s="24"/>
      <c r="C114" s="35"/>
      <c r="D114" s="35"/>
      <c r="F114" s="35"/>
      <c r="G114" s="35"/>
      <c r="H114" s="35"/>
      <c r="I114" s="35"/>
      <c r="J114" s="1"/>
      <c r="P114" s="35"/>
      <c r="Q114" s="35"/>
      <c r="R114" s="35"/>
      <c r="S114" s="35"/>
    </row>
    <row r="115" spans="1:19" ht="12.75">
      <c r="A115" s="24"/>
      <c r="B115" s="41"/>
      <c r="C115" s="24"/>
      <c r="D115" s="29"/>
      <c r="E115" s="41"/>
      <c r="G115" s="29"/>
      <c r="H115" s="30"/>
      <c r="I115" s="31"/>
      <c r="J115" s="1"/>
      <c r="K115" s="24"/>
      <c r="O115" s="41"/>
      <c r="Q115" s="29"/>
      <c r="R115" s="30"/>
      <c r="S115" s="31"/>
    </row>
    <row r="116" spans="1:19" ht="12.75">
      <c r="A116" s="24"/>
      <c r="B116" s="41"/>
      <c r="C116" s="24"/>
      <c r="D116" s="29"/>
      <c r="E116" s="41"/>
      <c r="G116" s="29"/>
      <c r="H116" s="30"/>
      <c r="I116" s="31"/>
      <c r="J116" s="1"/>
      <c r="K116" s="24"/>
      <c r="O116" s="41"/>
      <c r="Q116" s="29"/>
      <c r="R116" s="30"/>
      <c r="S116" s="31"/>
    </row>
    <row r="117" spans="1:19" ht="12.75">
      <c r="A117" s="24"/>
      <c r="B117" s="41"/>
      <c r="C117" s="24"/>
      <c r="D117" s="29"/>
      <c r="E117" s="41"/>
      <c r="G117" s="29"/>
      <c r="H117" s="30"/>
      <c r="I117" s="31"/>
      <c r="J117" s="1"/>
      <c r="K117" s="24"/>
      <c r="L117" s="41"/>
      <c r="N117" s="29"/>
      <c r="O117" s="41"/>
      <c r="Q117" s="29"/>
      <c r="R117" s="30"/>
      <c r="S117" s="31"/>
    </row>
    <row r="118" spans="1:19" ht="12.75">
      <c r="A118" s="24"/>
      <c r="B118" s="41"/>
      <c r="C118" s="24"/>
      <c r="D118" s="29"/>
      <c r="E118" s="41"/>
      <c r="G118" s="29"/>
      <c r="H118" s="30"/>
      <c r="I118" s="31"/>
      <c r="J118" s="1"/>
      <c r="K118" s="24"/>
      <c r="L118" s="41"/>
      <c r="N118" s="29"/>
      <c r="O118" s="41"/>
      <c r="Q118" s="29"/>
      <c r="R118" s="30"/>
      <c r="S118" s="31"/>
    </row>
  </sheetData>
  <printOptions/>
  <pageMargins left="0.25" right="0.31" top="0.42" bottom="0.5" header="0" footer="0"/>
  <pageSetup cellComments="asDisplayed" fitToHeight="1" fitToWidth="1" horizontalDpi="600" verticalDpi="600" orientation="portrait" paperSize="9" scale="47"/>
  <headerFooter alignWithMargins="0">
    <oddHeader>&amp;L&amp;[TAB]</oddHeader>
    <oddFooter>&amp;LPage &amp;[PAGE]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"/>
  <sheetViews>
    <sheetView zoomScaleSheetLayoutView="1" workbookViewId="0" topLeftCell="A1">
      <selection activeCell="C3" sqref="C3"/>
    </sheetView>
  </sheetViews>
  <sheetFormatPr defaultColWidth="9.00390625" defaultRowHeight="12.75"/>
  <cols>
    <col min="1" max="3" width="9.125" style="16" customWidth="1"/>
    <col min="4" max="4" width="10.625" style="16" customWidth="1"/>
    <col min="5" max="5" width="10.75390625" style="16" customWidth="1"/>
    <col min="6" max="7" width="9.125" style="16" customWidth="1"/>
  </cols>
  <sheetData>
    <row r="2" spans="1:6" ht="12.75">
      <c r="A2" s="16" t="s">
        <v>119</v>
      </c>
      <c r="B2" s="77">
        <v>27</v>
      </c>
      <c r="C2" s="77">
        <v>5.9</v>
      </c>
      <c r="D2" s="7">
        <f>IF(B2&lt;&gt;0,SIGN(B2),1)*(ABS(B2)+C2/60)</f>
        <v>27.098333333333333</v>
      </c>
      <c r="E2" s="16" t="str">
        <f>IF(D2&lt;0,"-","+")&amp;TEXT(INT(ABS(D2)),"0")&amp;CHAR(176)&amp;TEXT(60*(ABS(D2)-INT(ABS(D2)))," #0.#")&amp;"'"</f>
        <v>+27° 5.9'</v>
      </c>
      <c r="F2" s="7">
        <f>RADIANS(D2)</f>
        <v>0.4729551384695967</v>
      </c>
    </row>
    <row r="3" spans="4:6" ht="12.75">
      <c r="D3" s="7"/>
      <c r="F3" s="7"/>
    </row>
    <row r="4" spans="1:7" ht="12.75">
      <c r="A4" s="20" t="s">
        <v>41</v>
      </c>
      <c r="B4" s="8">
        <v>-77</v>
      </c>
      <c r="C4" s="8">
        <v>0</v>
      </c>
      <c r="D4" s="7">
        <f>IF(B4&lt;&gt;0,SIGN(B4),1)*(ABS(B4)+C4/60)</f>
        <v>-77</v>
      </c>
      <c r="E4" s="16" t="str">
        <f>IF(D4&lt;0,"-","+")&amp;TEXT(INT(ABS(D4)),"0")&amp;CHAR(176)&amp;TEXT(60*(ABS(D4)-INT(ABS(D4)))," #0.#")&amp;"'"</f>
        <v>-77° 0.'</v>
      </c>
      <c r="F4" s="7">
        <f>RADIANS(D4)</f>
        <v>-1.3439035240356338</v>
      </c>
      <c r="G4" s="16" t="s">
        <v>81</v>
      </c>
    </row>
    <row r="5" ht="12.75">
      <c r="D5" s="7"/>
    </row>
    <row r="6" spans="1:7" ht="12.75">
      <c r="A6" s="20" t="s">
        <v>21</v>
      </c>
      <c r="B6" s="3"/>
      <c r="C6" s="3"/>
      <c r="D6" s="7">
        <f>D2+D4</f>
        <v>-49.90166666666667</v>
      </c>
      <c r="E6" s="17" t="str">
        <f>IF(D6&lt;0,"-","+")&amp;TEXT(INT(ABS(D6)),"0")&amp;CHAR(176)&amp;TEXT(60*(ABS(D6)-INT(ABS(D6)))," #0.#")&amp;"'"</f>
        <v>-49° 54.1'</v>
      </c>
      <c r="F6" s="7">
        <f>RADIANS(D6)</f>
        <v>-0.870948385566037</v>
      </c>
      <c r="G6" s="16" t="s">
        <v>108</v>
      </c>
    </row>
    <row r="7" spans="3:4" ht="12.75">
      <c r="C7" s="16" t="s">
        <v>120</v>
      </c>
      <c r="D7" s="7">
        <f>D6+360</f>
        <v>310.09833333333336</v>
      </c>
    </row>
  </sheetData>
  <printOptions/>
  <pageMargins left="0.75" right="0.75" top="1.6666666666666667" bottom="1.6666666666666667" header="0" footer="0"/>
  <pageSetup cellComments="asDisplayed" fitToHeight="1" fitToWidth="1" horizontalDpi="600" verticalDpi="600" orientation="portrait" paperSize="9"/>
  <headerFooter alignWithMargins="0">
    <oddHeader>&amp;L&amp;[TAB]</oddHeader>
    <oddFooter>&amp;LPage &amp;[PAGE]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waldenda</cp:lastModifiedBy>
  <cp:lastPrinted>2009-06-16T17:02:31Z</cp:lastPrinted>
  <dcterms:modified xsi:type="dcterms:W3CDTF">2009-06-22T11:56:19Z</dcterms:modified>
  <cp:category/>
  <cp:version/>
  <cp:contentType/>
  <cp:contentStatus/>
</cp:coreProperties>
</file>