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53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<sst xmlns="http://schemas.openxmlformats.org/spreadsheetml/2006/main" count="27" uniqueCount="25">
  <si>
    <t>sd</t>
  </si>
  <si>
    <t>lat</t>
  </si>
  <si>
    <t>pa</t>
  </si>
  <si>
    <t>sum</t>
  </si>
  <si>
    <t>Ho to LL deg</t>
  </si>
  <si>
    <t>Ho min</t>
  </si>
  <si>
    <t>true hz&amp;zn</t>
  </si>
  <si>
    <t>zn calc</t>
  </si>
  <si>
    <t>delta zn min</t>
  </si>
  <si>
    <t>LHA</t>
  </si>
  <si>
    <t>TRUE gha&amp;dec</t>
  </si>
  <si>
    <t>deg</t>
  </si>
  <si>
    <t>min</t>
  </si>
  <si>
    <t>body</t>
  </si>
  <si>
    <t>sec</t>
  </si>
  <si>
    <t>moon</t>
  </si>
  <si>
    <t>Ho to center</t>
  </si>
  <si>
    <t>in above, +g4/60 for far limb, -g4/60 for near</t>
  </si>
  <si>
    <t>gha</t>
  </si>
  <si>
    <t>obs</t>
  </si>
  <si>
    <t>dec</t>
  </si>
  <si>
    <t>hc</t>
  </si>
  <si>
    <t>long</t>
  </si>
  <si>
    <t>zn</t>
  </si>
  <si>
    <t>ref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</si>
</sst>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  <numFmt numFmtId="51" formatCode="0.0"/>
  </numFmts>
  <fonts count="4">
    <font>
      <sz val="10"/>
      <color indexed="8"/>
      <name val="Sans"/>
      <family val="0"/>
    </font>
    <font>
      <b/>
      <sz val="10"/>
      <color indexed="57"/>
      <name val="Sans"/>
      <family val="0"/>
    </font>
    <font>
      <b/>
      <sz val="10"/>
      <color indexed="63"/>
      <name val="Sans"/>
      <family val="0"/>
    </font>
    <font>
      <b/>
      <sz val="10"/>
      <color indexed="10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1" fillId="0" borderId="0" xfId="0" applyNumberFormat="1" applyFont="1" applyFill="1" applyBorder="1" applyAlignment="1" applyProtection="1">
      <alignment/>
      <protection/>
    </xf>
    <xf numFmtId="51" fontId="1" fillId="0" borderId="0" xfId="0" applyNumberFormat="1" applyFont="1" applyFill="1" applyBorder="1" applyAlignment="1" applyProtection="1">
      <alignment/>
      <protection/>
    </xf>
    <xf numFmtId="50" fontId="3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51" fontId="2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50" fontId="2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51" fontId="3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7C7C7"/>
      <rgbColor rgb="00EB888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SheetLayoutView="1" workbookViewId="0" topLeftCell="A1">
      <selection activeCell="G14" sqref="G14"/>
    </sheetView>
  </sheetViews>
  <sheetFormatPr defaultColWidth="9.00390625" defaultRowHeight="12.75"/>
  <cols>
    <col min="1" max="1" width="13.00390625" style="10" customWidth="1"/>
    <col min="2" max="2" width="10.75390625" style="11" customWidth="1"/>
    <col min="3" max="3" width="10.25390625" style="11" customWidth="1"/>
    <col min="4" max="4" width="9.125" style="11" customWidth="1"/>
    <col min="5" max="5" width="7.875" style="11" customWidth="1"/>
    <col min="6" max="6" width="5.25390625" style="11" customWidth="1"/>
    <col min="7" max="7" width="6.625" style="11" customWidth="1"/>
    <col min="8" max="8" width="4.125" style="11" customWidth="1"/>
    <col min="9" max="9" width="9.125" style="11" customWidth="1"/>
    <col min="10" max="10" width="13.875" style="11" customWidth="1"/>
    <col min="11" max="11" width="9.125" style="11" customWidth="1"/>
    <col min="12" max="12" width="10.875" style="11" customWidth="1"/>
    <col min="13" max="13" width="12.625" style="11" customWidth="1"/>
    <col min="14" max="14" width="9.125" style="1" customWidth="1"/>
  </cols>
  <sheetData>
    <row r="1" spans="1:2" ht="12.75">
      <c r="A1" s="10" t="s">
        <v>1</v>
      </c>
      <c r="B1" s="2">
        <f>38+53/60</f>
        <v>38.88333333333333</v>
      </c>
    </row>
    <row r="2" spans="1:2" ht="12.75">
      <c r="A2" s="10" t="s">
        <v>22</v>
      </c>
      <c r="B2" s="2">
        <f>-77-1/60</f>
        <v>-77.01666666666667</v>
      </c>
    </row>
    <row r="3" spans="2:14" ht="12.75">
      <c r="B3" s="9" t="s">
        <v>18</v>
      </c>
      <c r="C3" s="9" t="s">
        <v>20</v>
      </c>
      <c r="D3" s="9" t="s">
        <v>21</v>
      </c>
      <c r="E3" s="9" t="s">
        <v>23</v>
      </c>
      <c r="F3" s="9" t="s">
        <v>24</v>
      </c>
      <c r="G3" s="9" t="s">
        <v>0</v>
      </c>
      <c r="H3" s="9" t="s">
        <v>2</v>
      </c>
      <c r="I3" s="9" t="s">
        <v>3</v>
      </c>
      <c r="J3" s="9" t="s">
        <v>4</v>
      </c>
      <c r="K3" s="9" t="s">
        <v>5</v>
      </c>
      <c r="L3" s="9" t="s">
        <v>7</v>
      </c>
      <c r="M3" s="9" t="s">
        <v>8</v>
      </c>
      <c r="N3" s="6" t="s">
        <v>9</v>
      </c>
    </row>
    <row r="4" spans="1:14" ht="12.75">
      <c r="A4" s="10" t="s">
        <v>15</v>
      </c>
      <c r="B4" s="2">
        <f>98+2.7/60</f>
        <v>98.045</v>
      </c>
      <c r="C4" s="2">
        <f>-26-21.3/60</f>
        <v>-26.355</v>
      </c>
      <c r="D4" s="2">
        <f>21+51.8/60</f>
        <v>21.863333333333333</v>
      </c>
      <c r="E4" s="3">
        <v>200.3</v>
      </c>
      <c r="F4" s="3"/>
      <c r="G4" s="3">
        <v>14.9</v>
      </c>
      <c r="H4" s="3"/>
      <c r="I4" s="3">
        <v>63.2</v>
      </c>
      <c r="J4" s="4">
        <f>D4-I4/60</f>
        <v>20.81</v>
      </c>
      <c r="K4" s="14">
        <f>60*(J4-INT(J4))</f>
        <v>48.59999999999992</v>
      </c>
      <c r="L4" s="5">
        <f>180+DEGREES(ATAN2(COS(RADIANS(B4+B2))*SIN(RADIANS(B1))-TAN(RADIANS(C4))*COS(RADIANS(B1)),SIN(RADIANS(B4+B2))))</f>
        <v>200.27042206485433</v>
      </c>
      <c r="M4" s="13">
        <f>60*(E4-L4)</f>
        <v>1.7746761087408913</v>
      </c>
      <c r="N4" s="8">
        <f>B4+B2</f>
        <v>21.028333333333336</v>
      </c>
    </row>
    <row r="5" spans="1:14" ht="12.75">
      <c r="A5" s="10" t="s">
        <v>13</v>
      </c>
      <c r="B5" s="2">
        <f>25+18.1/60</f>
        <v>25.301666666666666</v>
      </c>
      <c r="C5" s="2">
        <f>-14-34.3/60</f>
        <v>-14.571666666666667</v>
      </c>
      <c r="D5" s="2">
        <f>17+59.4/60</f>
        <v>17.99</v>
      </c>
      <c r="E5" s="3">
        <v>127</v>
      </c>
      <c r="F5" s="3"/>
      <c r="G5" s="3">
        <v>0.4</v>
      </c>
      <c r="H5" s="3"/>
      <c r="I5" s="3">
        <f>-2.6</f>
        <v>-2.6</v>
      </c>
      <c r="J5" s="4">
        <f>D5-I5/60</f>
        <v>18.03333333333333</v>
      </c>
      <c r="K5" s="14">
        <f>60*(J5-INT(J5))</f>
        <v>1.9999999999998863</v>
      </c>
      <c r="L5" s="5">
        <f>180+DEGREES(ATAN2(COS(RADIANS(B5+B2))*SIN(RADIANS(B1))-TAN(RADIANS(C5))*COS(RADIANS(B1)),SIN(RADIANS(B5+B2))))</f>
        <v>126.99017943448459</v>
      </c>
      <c r="M5" s="13">
        <f>60*(E5-L5)</f>
        <v>0.5892339309247063</v>
      </c>
      <c r="N5" s="8">
        <f>B5+B2</f>
        <v>-51.715</v>
      </c>
    </row>
    <row r="6" spans="2:4" ht="12.75">
      <c r="B6" s="5"/>
      <c r="C6" s="5"/>
      <c r="D6" s="5"/>
    </row>
    <row r="7" spans="2:4" ht="12.75">
      <c r="B7" s="5"/>
      <c r="C7" s="5"/>
      <c r="D7" s="5"/>
    </row>
    <row r="8" spans="2:14" ht="12.75">
      <c r="B8" s="15" t="s">
        <v>11</v>
      </c>
      <c r="C8" s="15" t="s">
        <v>12</v>
      </c>
      <c r="D8" s="15" t="s">
        <v>14</v>
      </c>
      <c r="E8" s="9"/>
      <c r="F8" s="9"/>
      <c r="G8" s="9"/>
      <c r="H8" s="9"/>
      <c r="I8" s="9"/>
      <c r="J8" s="9" t="s">
        <v>16</v>
      </c>
      <c r="K8" s="9"/>
      <c r="L8" s="9"/>
      <c r="M8" s="9"/>
      <c r="N8" s="6"/>
    </row>
    <row r="9" spans="1:11" ht="12.75">
      <c r="A9" s="10" t="s">
        <v>10</v>
      </c>
      <c r="B9" s="5">
        <f>DEGREES(ACOS(SIN(RADIANS(C5))*SIN(RADIANS(C4))+COS(RADIANS(C5))*COS(RADIANS(C4))*COS(RADIANS(B4-B5))))</f>
        <v>68.34866191991888</v>
      </c>
      <c r="C9" s="13">
        <f>60*(B9-INT(B9))</f>
        <v>20.919715195132937</v>
      </c>
      <c r="D9" s="5">
        <f>60*(C9-INT(C9))</f>
        <v>55.182911707976245</v>
      </c>
      <c r="I9" s="11" t="s">
        <v>15</v>
      </c>
      <c r="J9" s="12">
        <f>J4+G4/60</f>
        <v>21.058333333333334</v>
      </c>
      <c r="K9" s="7">
        <f>60*(J9-INT(J9))</f>
        <v>3.500000000000014</v>
      </c>
    </row>
    <row r="10" spans="2:11" ht="12.75">
      <c r="B10" s="5"/>
      <c r="C10" s="13"/>
      <c r="D10" s="5"/>
      <c r="I10" s="11" t="s">
        <v>13</v>
      </c>
      <c r="J10" s="12">
        <f>J5+G5/60</f>
        <v>18.04</v>
      </c>
      <c r="K10" s="7">
        <f>60*(J10-INT(J10))</f>
        <v>2.399999999999949</v>
      </c>
    </row>
    <row r="11" spans="2:4" ht="12.75">
      <c r="B11" s="5"/>
      <c r="C11" s="13"/>
      <c r="D11" s="5"/>
    </row>
    <row r="12" spans="1:4" ht="12.75">
      <c r="A12" s="10" t="s">
        <v>6</v>
      </c>
      <c r="B12" s="5">
        <f>DEGREES(ACOS(SIN(RADIANS(D5))*SIN(RADIANS(D4))+COS(RADIANS(D5))*COS(RADIANS(D4))*COS(RADIANS(E4-E5))))</f>
        <v>68.36651791890102</v>
      </c>
      <c r="C12" s="13">
        <f>60*(B12-INT(B12))</f>
        <v>21.991075134061475</v>
      </c>
      <c r="D12" s="5">
        <f>60*(C12-INT(C12))</f>
        <v>59.46450804368851</v>
      </c>
    </row>
    <row r="13" spans="2:4" ht="12.75">
      <c r="B13" s="5"/>
      <c r="C13" s="13"/>
      <c r="D13" s="5"/>
    </row>
    <row r="14" spans="2:4" ht="12.75">
      <c r="B14" s="5"/>
      <c r="C14" s="13"/>
      <c r="D14" s="5"/>
    </row>
    <row r="15" spans="1:4" ht="12.75">
      <c r="A15" s="10" t="s">
        <v>19</v>
      </c>
      <c r="B15" s="4">
        <f>+G4/60+DEGREES(ACOS(SIN(RADIANS(D5-I5/60))*SIN(RADIANS(D4-I4/60+G4/60))+COS(RADIANS(D5-I5/60))*COS(RADIANS(D4+G4/60-I4/60))*COS(RADIANS(L4-L5))))</f>
        <v>68.74698665810804</v>
      </c>
      <c r="C15" s="14">
        <f>60*(B15-INT(B15))</f>
        <v>44.819199486482546</v>
      </c>
      <c r="D15" s="5">
        <f>60*(C15-INT(C15))</f>
        <v>49.15196918895276</v>
      </c>
    </row>
    <row r="16" ht="12.75">
      <c r="B16" s="11" t="s">
        <v>17</v>
      </c>
    </row>
  </sheetData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/>
  <headerFooter alignWithMargins="0">
    <oddHeader>&amp;L&amp;[TAB]</oddHeader>
    <oddFooter>&amp;LPage &amp;[PAGE]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1" customWidth="1"/>
  </cols>
  <sheetData/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/>
  <headerFooter alignWithMargins="0">
    <oddHeader>&amp;L&amp;[TAB]</oddHeader>
    <oddFooter>&amp;LPage &amp;[PAGE]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1" customWidth="1"/>
  </cols>
  <sheetData/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/>
  <headerFooter alignWithMargins="0">
    <oddHeader>&amp;L&amp;[TAB]</oddHeader>
    <oddFooter>&amp;LPage 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