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345" activeTab="0"/>
  </bookViews>
  <sheets>
    <sheet name="Info" sheetId="1" r:id="rId1"/>
    <sheet name="Double Altitude" sheetId="2" r:id="rId2"/>
    <sheet name="Altitude Azimuth" sheetId="3" r:id="rId3"/>
    <sheet name="Lunar Distances" sheetId="4" r:id="rId4"/>
  </sheets>
  <definedNames>
    <definedName name="a">'Altitude Azimuth'!$C$12</definedName>
    <definedName name="b">'Altitude Azimuth'!$C$13</definedName>
    <definedName name="cosθ">'Lunar Distances'!$C$15</definedName>
    <definedName name="d">'Double Altitude'!$C$24</definedName>
    <definedName name="d_l">'Lunar Distances'!$K$3</definedName>
    <definedName name="GHA">'Altitude Azimuth'!$K$8</definedName>
    <definedName name="GHA_1">'Double Altitude'!$K$4</definedName>
    <definedName name="GHA_2">'Double Altitude'!$K$9</definedName>
    <definedName name="GHA1">'Double Altitude'!$K$4</definedName>
    <definedName name="GHA2">'Double Altitude'!$K$9</definedName>
    <definedName name="h_M">'Lunar Distances'!$K$4</definedName>
    <definedName name="h_S">'Lunar Distances'!$K$5</definedName>
    <definedName name="hM">'Lunar Distances'!$K$4</definedName>
    <definedName name="hp_M">'Lunar Distances'!$K$7</definedName>
    <definedName name="hp_S">'Lunar Distances'!$K$8</definedName>
    <definedName name="hpM">'Lunar Distances'!$K$7</definedName>
    <definedName name="hpS">'Lunar Distances'!$K$8</definedName>
    <definedName name="hS">'Lunar Distances'!$K$5</definedName>
    <definedName name="L">'Altitude Azimuth'!$K$4</definedName>
    <definedName name="r_1">'Double Altitude'!$C$20</definedName>
    <definedName name="r_2">'Double Altitude'!$C$22</definedName>
    <definedName name="tan2d2">'Lunar Distances'!$C$14</definedName>
    <definedName name="tan2dp2">'Lunar Distances'!$C$20</definedName>
    <definedName name="tand">'Lunar Distances'!$C$14</definedName>
    <definedName name="w">'Altitude Azimuth'!$C$17</definedName>
    <definedName name="z">'Altitude Azimuth'!$C$15</definedName>
    <definedName name="z_1">'Lunar Distances'!$C$11</definedName>
    <definedName name="z_2">'Lunar Distances'!$C$12</definedName>
    <definedName name="z_c1">'Double Altitude'!$C$19</definedName>
    <definedName name="z_c2">'Double Altitude'!$C$21</definedName>
    <definedName name="z_p1">'Double Altitude'!$C$14</definedName>
    <definedName name="z_p2">'Double Altitude'!$C$16</definedName>
    <definedName name="zc1">'Double Altitude'!$C$19</definedName>
    <definedName name="zc2">'Double Altitude'!$C$21</definedName>
    <definedName name="ZD_1">'Double Altitude'!$K$6</definedName>
    <definedName name="ZD_2">'Double Altitude'!$K$11</definedName>
    <definedName name="ZD1">'Double Altitude'!$K$6</definedName>
    <definedName name="ZD2">'Double Altitude'!$K$11</definedName>
    <definedName name="zp_1">'Lunar Distances'!$C$17</definedName>
    <definedName name="zp_2">'Lunar Distances'!$C$18</definedName>
    <definedName name="zp1">'Double Altitude'!$C$14</definedName>
    <definedName name="zp2">'Double Altitude'!$C$16</definedName>
    <definedName name="δ">'Altitude Azimuth'!$K$9</definedName>
    <definedName name="δ_1">'Double Altitude'!$K$5</definedName>
    <definedName name="δ_2">'Double Altitude'!$K$10</definedName>
    <definedName name="δ1">'Double Altitude'!$K$5</definedName>
    <definedName name="δ2">'Double Altitude'!$K$10</definedName>
    <definedName name="λ">'Altitude Azimuth'!$K$5</definedName>
    <definedName name="μ">'Double Altitude'!$C$25</definedName>
    <definedName name="ν">'Double Altitude'!$C$26</definedName>
    <definedName name="ρ_1">'Double Altitude'!$C$15</definedName>
    <definedName name="ρ_2">'Double Altitude'!$C$17</definedName>
    <definedName name="ρ1">'Double Altitude'!$C$15</definedName>
    <definedName name="ρ2">'Double Altitude'!$C$17</definedName>
  </definedNames>
  <calcPr fullCalcOnLoad="1"/>
</workbook>
</file>

<file path=xl/sharedStrings.xml><?xml version="1.0" encoding="utf-8"?>
<sst xmlns="http://schemas.openxmlformats.org/spreadsheetml/2006/main" count="126" uniqueCount="57">
  <si>
    <t>h</t>
  </si>
  <si>
    <t>m</t>
  </si>
  <si>
    <t>s</t>
  </si>
  <si>
    <t>'</t>
  </si>
  <si>
    <t>"</t>
  </si>
  <si>
    <t>°</t>
  </si>
  <si>
    <r>
      <t>GHA</t>
    </r>
    <r>
      <rPr>
        <vertAlign val="subscript"/>
        <sz val="10"/>
        <rFont val="Arial"/>
        <family val="2"/>
      </rPr>
      <t>1</t>
    </r>
  </si>
  <si>
    <r>
      <t>GHA</t>
    </r>
    <r>
      <rPr>
        <vertAlign val="subscript"/>
        <sz val="10"/>
        <rFont val="Arial"/>
        <family val="2"/>
      </rPr>
      <t>2</t>
    </r>
  </si>
  <si>
    <t>d</t>
  </si>
  <si>
    <t>μ</t>
  </si>
  <si>
    <t>ν</t>
  </si>
  <si>
    <t>z</t>
  </si>
  <si>
    <r>
      <t>Declination,</t>
    </r>
    <r>
      <rPr>
        <i/>
        <sz val="10"/>
        <rFont val="Arial"/>
        <family val="2"/>
      </rPr>
      <t xml:space="preserve"> δ</t>
    </r>
    <r>
      <rPr>
        <i/>
        <vertAlign val="subscript"/>
        <sz val="10"/>
        <rFont val="Arial"/>
        <family val="2"/>
      </rPr>
      <t>1</t>
    </r>
  </si>
  <si>
    <r>
      <t xml:space="preserve">Declination, </t>
    </r>
    <r>
      <rPr>
        <i/>
        <sz val="10"/>
        <rFont val="Arial"/>
        <family val="2"/>
      </rPr>
      <t>δ</t>
    </r>
    <r>
      <rPr>
        <i/>
        <vertAlign val="subscript"/>
        <sz val="10"/>
        <rFont val="Arial"/>
        <family val="2"/>
      </rPr>
      <t>2</t>
    </r>
  </si>
  <si>
    <r>
      <t>z</t>
    </r>
    <r>
      <rPr>
        <i/>
        <vertAlign val="subscript"/>
        <sz val="10"/>
        <rFont val="Arial"/>
        <family val="2"/>
      </rPr>
      <t>p1</t>
    </r>
  </si>
  <si>
    <r>
      <t>ρ</t>
    </r>
    <r>
      <rPr>
        <i/>
        <vertAlign val="subscript"/>
        <sz val="10"/>
        <rFont val="Arial"/>
        <family val="2"/>
      </rPr>
      <t>1</t>
    </r>
  </si>
  <si>
    <r>
      <t>z</t>
    </r>
    <r>
      <rPr>
        <i/>
        <vertAlign val="subscript"/>
        <sz val="10"/>
        <rFont val="Arial"/>
        <family val="2"/>
      </rPr>
      <t>p2</t>
    </r>
  </si>
  <si>
    <r>
      <t>ρ</t>
    </r>
    <r>
      <rPr>
        <i/>
        <vertAlign val="subscript"/>
        <sz val="10"/>
        <rFont val="Arial"/>
        <family val="2"/>
      </rPr>
      <t>2</t>
    </r>
  </si>
  <si>
    <r>
      <t>z</t>
    </r>
    <r>
      <rPr>
        <i/>
        <vertAlign val="subscript"/>
        <sz val="10"/>
        <rFont val="Arial"/>
        <family val="2"/>
      </rPr>
      <t>c1</t>
    </r>
  </si>
  <si>
    <r>
      <t>r</t>
    </r>
    <r>
      <rPr>
        <i/>
        <vertAlign val="subscript"/>
        <sz val="10"/>
        <rFont val="Arial"/>
        <family val="2"/>
      </rPr>
      <t>1</t>
    </r>
  </si>
  <si>
    <r>
      <t>z</t>
    </r>
    <r>
      <rPr>
        <i/>
        <vertAlign val="subscript"/>
        <sz val="10"/>
        <rFont val="Arial"/>
        <family val="2"/>
      </rPr>
      <t>c2</t>
    </r>
  </si>
  <si>
    <r>
      <t>r</t>
    </r>
    <r>
      <rPr>
        <i/>
        <vertAlign val="subscript"/>
        <sz val="10"/>
        <rFont val="Arial"/>
        <family val="2"/>
      </rPr>
      <t>2</t>
    </r>
  </si>
  <si>
    <r>
      <t>Latitude,</t>
    </r>
    <r>
      <rPr>
        <i/>
        <sz val="10"/>
        <rFont val="Arial"/>
        <family val="2"/>
      </rPr>
      <t xml:space="preserve"> L</t>
    </r>
  </si>
  <si>
    <r>
      <t xml:space="preserve">Longitude, </t>
    </r>
    <r>
      <rPr>
        <i/>
        <sz val="10"/>
        <rFont val="Arial"/>
        <family val="2"/>
      </rPr>
      <t>λ</t>
    </r>
  </si>
  <si>
    <t>radians</t>
  </si>
  <si>
    <t>GHA</t>
  </si>
  <si>
    <t>Assumed Position</t>
  </si>
  <si>
    <r>
      <t>Declination,</t>
    </r>
    <r>
      <rPr>
        <i/>
        <sz val="10"/>
        <rFont val="Arial"/>
        <family val="2"/>
      </rPr>
      <t xml:space="preserve"> δ</t>
    </r>
  </si>
  <si>
    <t>a</t>
  </si>
  <si>
    <t>b</t>
  </si>
  <si>
    <t>T(z) ≡ w =</t>
  </si>
  <si>
    <r>
      <t>Altitude,</t>
    </r>
    <r>
      <rPr>
        <i/>
        <sz val="10"/>
        <rFont val="Arial"/>
        <family val="2"/>
      </rPr>
      <t xml:space="preserve"> h</t>
    </r>
  </si>
  <si>
    <r>
      <t>Azimuth,</t>
    </r>
    <r>
      <rPr>
        <i/>
        <sz val="10"/>
        <rFont val="Arial"/>
        <family val="2"/>
      </rPr>
      <t xml:space="preserve"> Z</t>
    </r>
  </si>
  <si>
    <r>
      <t xml:space="preserve">Apparent lunar distance, </t>
    </r>
    <r>
      <rPr>
        <i/>
        <sz val="10"/>
        <rFont val="Arial"/>
        <family val="2"/>
      </rPr>
      <t>d</t>
    </r>
  </si>
  <si>
    <r>
      <t xml:space="preserve">Apparent lunar altitude, </t>
    </r>
    <r>
      <rPr>
        <i/>
        <sz val="10"/>
        <rFont val="Arial"/>
        <family val="2"/>
      </rPr>
      <t>h</t>
    </r>
    <r>
      <rPr>
        <i/>
        <vertAlign val="subscript"/>
        <sz val="10"/>
        <rFont val="Arial"/>
        <family val="2"/>
      </rPr>
      <t>M</t>
    </r>
  </si>
  <si>
    <r>
      <t xml:space="preserve">Apparent stellar altitude, </t>
    </r>
    <r>
      <rPr>
        <i/>
        <sz val="10"/>
        <rFont val="Arial"/>
        <family val="2"/>
      </rPr>
      <t>h</t>
    </r>
    <r>
      <rPr>
        <i/>
        <vertAlign val="subscript"/>
        <sz val="10"/>
        <rFont val="Arial"/>
        <family val="2"/>
      </rPr>
      <t>S</t>
    </r>
  </si>
  <si>
    <r>
      <t>|z</t>
    </r>
    <r>
      <rPr>
        <i/>
        <vertAlign val="subscript"/>
        <sz val="10"/>
        <rFont val="Arial"/>
        <family val="2"/>
      </rPr>
      <t>1</t>
    </r>
    <r>
      <rPr>
        <i/>
        <sz val="10"/>
        <rFont val="Arial"/>
        <family val="2"/>
      </rPr>
      <t>|</t>
    </r>
  </si>
  <si>
    <r>
      <t>|z</t>
    </r>
    <r>
      <rPr>
        <i/>
        <vertAlign val="subscript"/>
        <sz val="10"/>
        <rFont val="Arial"/>
        <family val="2"/>
      </rPr>
      <t>2</t>
    </r>
    <r>
      <rPr>
        <i/>
        <sz val="10"/>
        <rFont val="Arial"/>
        <family val="2"/>
      </rPr>
      <t>|</t>
    </r>
  </si>
  <si>
    <t>cos θ</t>
  </si>
  <si>
    <r>
      <t>tan</t>
    </r>
    <r>
      <rPr>
        <i/>
        <vertAlign val="superscript"/>
        <sz val="10"/>
        <rFont val="Arial"/>
        <family val="2"/>
      </rPr>
      <t>2</t>
    </r>
    <r>
      <rPr>
        <i/>
        <sz val="10"/>
        <rFont val="Arial"/>
        <family val="2"/>
      </rPr>
      <t>d/2</t>
    </r>
  </si>
  <si>
    <r>
      <t>|z'</t>
    </r>
    <r>
      <rPr>
        <i/>
        <vertAlign val="subscript"/>
        <sz val="10"/>
        <rFont val="Arial"/>
        <family val="2"/>
      </rPr>
      <t>1</t>
    </r>
    <r>
      <rPr>
        <i/>
        <sz val="10"/>
        <rFont val="Arial"/>
        <family val="2"/>
      </rPr>
      <t>|</t>
    </r>
  </si>
  <si>
    <r>
      <t>|z'</t>
    </r>
    <r>
      <rPr>
        <i/>
        <vertAlign val="subscript"/>
        <sz val="10"/>
        <rFont val="Arial"/>
        <family val="2"/>
      </rPr>
      <t>2</t>
    </r>
    <r>
      <rPr>
        <i/>
        <sz val="10"/>
        <rFont val="Arial"/>
        <family val="2"/>
      </rPr>
      <t>|</t>
    </r>
  </si>
  <si>
    <r>
      <t>tan</t>
    </r>
    <r>
      <rPr>
        <i/>
        <vertAlign val="superscript"/>
        <sz val="10"/>
        <rFont val="Arial"/>
        <family val="2"/>
      </rPr>
      <t>2</t>
    </r>
    <r>
      <rPr>
        <i/>
        <sz val="10"/>
        <rFont val="Arial"/>
        <family val="2"/>
      </rPr>
      <t>d'/2</t>
    </r>
  </si>
  <si>
    <t>Inputs</t>
  </si>
  <si>
    <t>Calculations</t>
  </si>
  <si>
    <t>Results</t>
  </si>
  <si>
    <r>
      <t>Sun at 1</t>
    </r>
    <r>
      <rPr>
        <b/>
        <vertAlign val="superscript"/>
        <sz val="10"/>
        <rFont val="Arial"/>
        <family val="2"/>
      </rPr>
      <t>st</t>
    </r>
    <r>
      <rPr>
        <b/>
        <sz val="10"/>
        <rFont val="Arial"/>
        <family val="2"/>
      </rPr>
      <t xml:space="preserve"> observation</t>
    </r>
  </si>
  <si>
    <r>
      <t>Sun at 2</t>
    </r>
    <r>
      <rPr>
        <b/>
        <vertAlign val="superscript"/>
        <sz val="10"/>
        <rFont val="Arial"/>
        <family val="2"/>
      </rPr>
      <t>nd</t>
    </r>
    <r>
      <rPr>
        <b/>
        <sz val="10"/>
        <rFont val="Arial"/>
        <family val="2"/>
      </rPr>
      <t xml:space="preserve"> observation</t>
    </r>
  </si>
  <si>
    <r>
      <t xml:space="preserve">Geocentric lunar altitude, </t>
    </r>
    <r>
      <rPr>
        <i/>
        <sz val="10"/>
        <rFont val="Arial"/>
        <family val="2"/>
      </rPr>
      <t>h'</t>
    </r>
    <r>
      <rPr>
        <i/>
        <vertAlign val="subscript"/>
        <sz val="10"/>
        <rFont val="Arial"/>
        <family val="2"/>
      </rPr>
      <t>M</t>
    </r>
  </si>
  <si>
    <r>
      <t xml:space="preserve">Geocentric stellar altitude, </t>
    </r>
    <r>
      <rPr>
        <i/>
        <sz val="10"/>
        <rFont val="Arial"/>
        <family val="2"/>
      </rPr>
      <t>h'</t>
    </r>
    <r>
      <rPr>
        <i/>
        <vertAlign val="subscript"/>
        <sz val="10"/>
        <rFont val="Arial"/>
        <family val="2"/>
      </rPr>
      <t>S</t>
    </r>
  </si>
  <si>
    <t>Vega at observation</t>
  </si>
  <si>
    <t>Altitude and Azimuth of Vega</t>
  </si>
  <si>
    <r>
      <t>Geocentric lunar distance,</t>
    </r>
    <r>
      <rPr>
        <i/>
        <sz val="10"/>
        <rFont val="Arial"/>
        <family val="2"/>
      </rPr>
      <t xml:space="preserve"> d'</t>
    </r>
  </si>
  <si>
    <t>Clearing Lunar Distance Sight</t>
  </si>
  <si>
    <t>Position from Double Altitude Sight of the Sun</t>
  </si>
  <si>
    <r>
      <t xml:space="preserve">Zenithal Distance, </t>
    </r>
    <r>
      <rPr>
        <sz val="10"/>
        <rFont val="Arial"/>
        <family val="2"/>
      </rPr>
      <t>ZD</t>
    </r>
    <r>
      <rPr>
        <vertAlign val="subscript"/>
        <sz val="10"/>
        <rFont val="Arial"/>
        <family val="2"/>
      </rPr>
      <t>1</t>
    </r>
  </si>
  <si>
    <r>
      <t xml:space="preserve">Zenithal Distance, </t>
    </r>
    <r>
      <rPr>
        <sz val="10"/>
        <rFont val="Arial"/>
        <family val="2"/>
      </rPr>
      <t>ZD</t>
    </r>
    <r>
      <rPr>
        <vertAlign val="subscript"/>
        <sz val="10"/>
        <rFont val="Arial"/>
        <family val="2"/>
      </rPr>
      <t>2</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</si>
</sst>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0.0"/>
    <numFmt numFmtId="166" formatCode="0.0000000000"/>
    <numFmt numFmtId="167" formatCode="0.00000000000"/>
    <numFmt numFmtId="168" formatCode="0.00000000"/>
    <numFmt numFmtId="169" formatCode="0.0000000"/>
  </numFmts>
  <fonts count="11">
    <font>
      <sz val="10"/>
      <name val="Arial"/>
      <family val="0"/>
    </font>
    <font>
      <vertAlign val="superscript"/>
      <sz val="10"/>
      <name val="Arial"/>
      <family val="0"/>
    </font>
    <font>
      <vertAlign val="subscript"/>
      <sz val="10"/>
      <name val="Arial"/>
      <family val="2"/>
    </font>
    <font>
      <sz val="8"/>
      <name val="Arial"/>
      <family val="0"/>
    </font>
    <font>
      <i/>
      <sz val="10"/>
      <name val="Arial"/>
      <family val="2"/>
    </font>
    <font>
      <i/>
      <vertAlign val="subscript"/>
      <sz val="10"/>
      <name val="Arial"/>
      <family val="2"/>
    </font>
    <font>
      <b/>
      <sz val="10"/>
      <name val="Arial"/>
      <family val="2"/>
    </font>
    <font>
      <i/>
      <vertAlign val="superscript"/>
      <sz val="10"/>
      <name val="Arial"/>
      <family val="2"/>
    </font>
    <font>
      <b/>
      <sz val="12"/>
      <name val="Arial"/>
      <family val="0"/>
    </font>
    <font>
      <b/>
      <vertAlign val="superscript"/>
      <sz val="10"/>
      <name val="Arial"/>
      <family val="2"/>
    </font>
    <font>
      <b/>
      <u val="single"/>
      <sz val="12"/>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quotePrefix="1">
      <alignment/>
    </xf>
    <xf numFmtId="0" fontId="1" fillId="0" borderId="0" xfId="0" applyFont="1" applyAlignment="1">
      <alignment/>
    </xf>
    <xf numFmtId="164" fontId="0" fillId="0" borderId="0" xfId="0" applyNumberFormat="1" applyAlignment="1">
      <alignment/>
    </xf>
    <xf numFmtId="1" fontId="0" fillId="0" borderId="0" xfId="0" applyNumberFormat="1" applyAlignment="1">
      <alignment/>
    </xf>
    <xf numFmtId="2" fontId="0" fillId="0" borderId="0" xfId="0" applyNumberFormat="1" applyAlignment="1">
      <alignment/>
    </xf>
    <xf numFmtId="165" fontId="0" fillId="0" borderId="0" xfId="0" applyNumberFormat="1" applyAlignment="1">
      <alignment/>
    </xf>
    <xf numFmtId="0" fontId="4" fillId="0" borderId="0" xfId="0" applyFont="1" applyAlignment="1">
      <alignment/>
    </xf>
    <xf numFmtId="0" fontId="0" fillId="0" borderId="0" xfId="0" applyFont="1" applyAlignment="1">
      <alignment/>
    </xf>
    <xf numFmtId="0" fontId="0" fillId="0" borderId="0" xfId="0" applyAlignment="1">
      <alignment horizontal="right"/>
    </xf>
    <xf numFmtId="168" fontId="0" fillId="0" borderId="0" xfId="0" applyNumberFormat="1" applyAlignment="1">
      <alignment/>
    </xf>
    <xf numFmtId="0" fontId="6" fillId="0" borderId="0" xfId="0" applyFont="1" applyAlignment="1">
      <alignment/>
    </xf>
    <xf numFmtId="0" fontId="8" fillId="0" borderId="0" xfId="0" applyFont="1" applyAlignment="1">
      <alignment horizontal="center" vertical="center" textRotation="90"/>
    </xf>
    <xf numFmtId="0" fontId="0" fillId="0" borderId="1" xfId="0" applyBorder="1" applyAlignment="1">
      <alignment/>
    </xf>
    <xf numFmtId="168" fontId="0" fillId="0" borderId="1" xfId="0" applyNumberFormat="1" applyBorder="1" applyAlignment="1">
      <alignment/>
    </xf>
    <xf numFmtId="0" fontId="4" fillId="0" borderId="1" xfId="0" applyFont="1" applyBorder="1" applyAlignment="1">
      <alignment/>
    </xf>
    <xf numFmtId="1" fontId="0" fillId="0" borderId="1" xfId="0" applyNumberFormat="1" applyBorder="1" applyAlignment="1">
      <alignment/>
    </xf>
    <xf numFmtId="0" fontId="0" fillId="0" borderId="1" xfId="0" applyBorder="1" applyAlignment="1" quotePrefix="1">
      <alignment/>
    </xf>
    <xf numFmtId="0" fontId="0" fillId="0" borderId="0" xfId="0" applyBorder="1" applyAlignment="1">
      <alignment/>
    </xf>
    <xf numFmtId="1" fontId="0" fillId="0" borderId="0" xfId="0" applyNumberFormat="1" applyBorder="1" applyAlignment="1">
      <alignment/>
    </xf>
    <xf numFmtId="168" fontId="0" fillId="0" borderId="0" xfId="0" applyNumberFormat="1" applyBorder="1" applyAlignment="1">
      <alignment/>
    </xf>
    <xf numFmtId="0" fontId="0" fillId="0" borderId="1" xfId="0" applyFont="1" applyBorder="1" applyAlignment="1">
      <alignment/>
    </xf>
    <xf numFmtId="0" fontId="4" fillId="0" borderId="2" xfId="0" applyFont="1" applyBorder="1" applyAlignment="1">
      <alignment/>
    </xf>
    <xf numFmtId="0" fontId="0" fillId="0" borderId="2" xfId="0" applyBorder="1" applyAlignment="1">
      <alignment/>
    </xf>
    <xf numFmtId="168" fontId="0" fillId="0" borderId="2" xfId="0" applyNumberFormat="1" applyBorder="1" applyAlignment="1">
      <alignment/>
    </xf>
    <xf numFmtId="0" fontId="0" fillId="0" borderId="0" xfId="0" applyFont="1" applyBorder="1" applyAlignment="1">
      <alignment/>
    </xf>
    <xf numFmtId="0" fontId="0" fillId="0" borderId="0" xfId="0" applyBorder="1" applyAlignment="1">
      <alignment horizontal="right"/>
    </xf>
    <xf numFmtId="0" fontId="10" fillId="0" borderId="0" xfId="0" applyFont="1" applyAlignment="1">
      <alignment/>
    </xf>
    <xf numFmtId="0" fontId="8" fillId="0" borderId="0" xfId="0" applyFont="1" applyAlignment="1">
      <alignment horizontal="center" vertical="center" textRotation="90"/>
    </xf>
    <xf numFmtId="0" fontId="8" fillId="0" borderId="0" xfId="0" applyFont="1" applyAlignment="1">
      <alignment horizontal="center" vertical="center" textRotation="90"/>
    </xf>
    <xf numFmtId="0" fontId="8" fillId="0" borderId="2" xfId="0" applyFont="1" applyBorder="1" applyAlignment="1">
      <alignment horizontal="center" vertical="center" textRotation="90"/>
    </xf>
    <xf numFmtId="0" fontId="8" fillId="0" borderId="0" xfId="0" applyFont="1" applyBorder="1" applyAlignment="1">
      <alignment horizontal="center" vertical="center" textRotation="90"/>
    </xf>
    <xf numFmtId="0" fontId="8" fillId="0" borderId="1" xfId="0" applyFont="1" applyBorder="1" applyAlignment="1">
      <alignment horizontal="center" vertical="center" textRotation="9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8</xdr:col>
      <xdr:colOff>533400</xdr:colOff>
      <xdr:row>23</xdr:row>
      <xdr:rowOff>28575</xdr:rowOff>
    </xdr:to>
    <xdr:sp>
      <xdr:nvSpPr>
        <xdr:cNvPr id="1" name="TextBox 1"/>
        <xdr:cNvSpPr txBox="1">
          <a:spLocks noChangeArrowheads="1"/>
        </xdr:cNvSpPr>
      </xdr:nvSpPr>
      <xdr:spPr>
        <a:xfrm>
          <a:off x="66675" y="95250"/>
          <a:ext cx="5343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ComplexCelNavDemo.xls
</a:t>
          </a:r>
          <a:r>
            <a:rPr lang="en-US" cap="none" sz="1000" b="0" i="0" u="none" baseline="0">
              <a:latin typeface="Arial"/>
              <a:ea typeface="Arial"/>
              <a:cs typeface="Arial"/>
            </a:rPr>
            <a:t> by Robin G. Stuart 
Demonstrates the use of complex numbers in calculations performed in celestial navigation. The examples are taken from the paper </a:t>
          </a:r>
          <a:r>
            <a:rPr lang="en-US" cap="none" sz="1000" b="0" i="1" u="none" baseline="0">
              <a:latin typeface="Arial"/>
              <a:ea typeface="Arial"/>
              <a:cs typeface="Arial"/>
            </a:rPr>
            <a:t>Applications of Complex Analysis to Celestial Navigation, </a:t>
          </a:r>
          <a:r>
            <a:rPr lang="en-US" cap="none" sz="1000" b="0" i="0" u="none" baseline="0">
              <a:latin typeface="Arial"/>
              <a:ea typeface="Arial"/>
              <a:cs typeface="Arial"/>
            </a:rPr>
            <a:t>to appear in the Winter 2009-2010 edition of Navigation (Journal of the Institute of Navigation), and available at http://www.fer3.com/arc/img/110015.articlec.pdf.
Each sheet consists of three sections; Inputs, Calculations, Results. The values of the Inputs are initially set to those that appear in the paper, above, and confirm the results that appearing therein. The inputs may be changed to perform the same calculations for other sets of observations.
The spreadsheet uses the Excel Engineering functions IMSUM(), IMPRODUCT() etc. to the perform the complex number calculations. To ensure that these are available to the system, on the Excel toolbar select Tools&gt;Addins and check "Analysis ToolPak".
The Excel implementation using functions IMSUM(), IMPRODUCT() etc. to perform aritmetic operations on complex numbers means that formulas that appear here are less compact and transparent than they are in computer languages, such as FORTRAN, C++, PERL, in which complex numbers are a built in native data type.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29" sqref="J29"/>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M22" sqref="M22"/>
    </sheetView>
  </sheetViews>
  <sheetFormatPr defaultColWidth="9.140625" defaultRowHeight="12.75"/>
  <cols>
    <col min="1" max="1" width="4.140625" style="0" bestFit="1" customWidth="1"/>
    <col min="2" max="2" width="21.7109375" style="0" bestFit="1" customWidth="1"/>
    <col min="3" max="3" width="11.8515625" style="0" customWidth="1"/>
    <col min="4" max="4" width="1.7109375" style="0" bestFit="1" customWidth="1"/>
    <col min="5" max="5" width="4.421875" style="0" customWidth="1"/>
    <col min="6" max="6" width="2.140625" style="0" bestFit="1" customWidth="1"/>
    <col min="7" max="7" width="6.00390625" style="0" bestFit="1" customWidth="1"/>
    <col min="8" max="8" width="1.7109375" style="0" bestFit="1" customWidth="1"/>
    <col min="9" max="9" width="10.421875" style="0" customWidth="1"/>
    <col min="11" max="11" width="12.421875" style="0" customWidth="1"/>
    <col min="14" max="14" width="14.00390625" style="0" customWidth="1"/>
  </cols>
  <sheetData>
    <row r="1" ht="15.75">
      <c r="B1" s="27" t="s">
        <v>54</v>
      </c>
    </row>
    <row r="3" spans="1:2" ht="12.75" customHeight="1">
      <c r="A3" s="28" t="s">
        <v>43</v>
      </c>
      <c r="B3" s="11" t="s">
        <v>46</v>
      </c>
    </row>
    <row r="4" spans="1:12" ht="15.75">
      <c r="A4" s="28"/>
      <c r="B4" t="s">
        <v>6</v>
      </c>
      <c r="C4" s="4">
        <v>6</v>
      </c>
      <c r="D4" s="2" t="s">
        <v>0</v>
      </c>
      <c r="E4" s="4">
        <v>45</v>
      </c>
      <c r="F4" s="2" t="s">
        <v>1</v>
      </c>
      <c r="G4" s="5">
        <v>58.06</v>
      </c>
      <c r="H4" s="2" t="s">
        <v>2</v>
      </c>
      <c r="K4" s="10">
        <f>RADIANS(15*(C4+E4/60+G4/3600))</f>
        <v>1.7713681099930416</v>
      </c>
      <c r="L4" t="s">
        <v>24</v>
      </c>
    </row>
    <row r="5" spans="1:12" ht="15.75">
      <c r="A5" s="28"/>
      <c r="B5" t="s">
        <v>12</v>
      </c>
      <c r="C5" s="4">
        <v>-7</v>
      </c>
      <c r="D5" t="s">
        <v>5</v>
      </c>
      <c r="E5" s="4">
        <v>51</v>
      </c>
      <c r="F5" s="1" t="s">
        <v>3</v>
      </c>
      <c r="G5" s="6">
        <v>30.3</v>
      </c>
      <c r="H5" s="1" t="s">
        <v>4</v>
      </c>
      <c r="K5" s="10">
        <f>RADIANS(SIGN(C5)*(ABS(C5)+E5/60+G5/3600))</f>
        <v>-0.13715524482693103</v>
      </c>
      <c r="L5" t="s">
        <v>24</v>
      </c>
    </row>
    <row r="6" spans="1:12" ht="15.75">
      <c r="A6" s="28"/>
      <c r="B6" t="s">
        <v>55</v>
      </c>
      <c r="C6" s="4">
        <v>61</v>
      </c>
      <c r="D6" t="s">
        <v>5</v>
      </c>
      <c r="E6" s="4">
        <v>57</v>
      </c>
      <c r="F6" s="1" t="s">
        <v>3</v>
      </c>
      <c r="G6" s="4">
        <v>30</v>
      </c>
      <c r="H6" s="1" t="s">
        <v>4</v>
      </c>
      <c r="K6" s="10">
        <f>RADIANS(SIGN(C6)*(ABS(C6)+E6/60+G6/3600))</f>
        <v>1.08137691571482</v>
      </c>
      <c r="L6" t="s">
        <v>24</v>
      </c>
    </row>
    <row r="7" spans="1:11" ht="12.75">
      <c r="A7" s="28"/>
      <c r="C7" s="4"/>
      <c r="E7" s="4"/>
      <c r="F7" s="1"/>
      <c r="G7" s="4"/>
      <c r="H7" s="1"/>
      <c r="K7" s="10"/>
    </row>
    <row r="8" spans="1:11" ht="14.25">
      <c r="A8" s="28"/>
      <c r="B8" s="11" t="s">
        <v>47</v>
      </c>
      <c r="C8" s="4"/>
      <c r="E8" s="4"/>
      <c r="K8" s="10"/>
    </row>
    <row r="9" spans="1:12" ht="15.75">
      <c r="A9" s="28"/>
      <c r="B9" t="s">
        <v>7</v>
      </c>
      <c r="C9" s="4">
        <v>9</v>
      </c>
      <c r="D9" s="2" t="s">
        <v>0</v>
      </c>
      <c r="E9" s="4">
        <v>49</v>
      </c>
      <c r="F9" s="2" t="s">
        <v>1</v>
      </c>
      <c r="G9" s="5">
        <v>11.41</v>
      </c>
      <c r="H9" s="2" t="s">
        <v>2</v>
      </c>
      <c r="K9" s="10">
        <f>RADIANS(15*(C9+E9/60+G9/3600))</f>
        <v>2.5708270821768693</v>
      </c>
      <c r="L9" t="s">
        <v>24</v>
      </c>
    </row>
    <row r="10" spans="1:12" ht="15.75">
      <c r="A10" s="12"/>
      <c r="B10" t="s">
        <v>13</v>
      </c>
      <c r="C10" s="4">
        <v>-7</v>
      </c>
      <c r="D10" t="s">
        <v>5</v>
      </c>
      <c r="E10" s="4">
        <v>48</v>
      </c>
      <c r="F10" s="1" t="s">
        <v>3</v>
      </c>
      <c r="G10" s="6">
        <v>37.3</v>
      </c>
      <c r="H10" s="1" t="s">
        <v>4</v>
      </c>
      <c r="K10" s="10">
        <f>RADIANS(SIGN(C10)*(ABS(C10)+E10/60+G10/3600))</f>
        <v>-0.13631651715861157</v>
      </c>
      <c r="L10" t="s">
        <v>24</v>
      </c>
    </row>
    <row r="11" spans="1:12" ht="15.75">
      <c r="A11" s="12"/>
      <c r="B11" t="s">
        <v>56</v>
      </c>
      <c r="C11" s="4">
        <v>56</v>
      </c>
      <c r="D11" t="s">
        <v>5</v>
      </c>
      <c r="E11" s="4">
        <v>34</v>
      </c>
      <c r="F11" s="1" t="s">
        <v>3</v>
      </c>
      <c r="G11" s="4">
        <v>20</v>
      </c>
      <c r="H11" s="1" t="s">
        <v>4</v>
      </c>
      <c r="K11" s="10">
        <f>RADIANS(SIGN(C11)*(ABS(C11)+E11/60+G11/3600))</f>
        <v>0.987371542947681</v>
      </c>
      <c r="L11" t="s">
        <v>24</v>
      </c>
    </row>
    <row r="12" spans="1:12" ht="13.5" thickBot="1">
      <c r="A12" s="13"/>
      <c r="B12" s="13"/>
      <c r="C12" s="13"/>
      <c r="D12" s="13"/>
      <c r="E12" s="13"/>
      <c r="F12" s="13"/>
      <c r="G12" s="13"/>
      <c r="H12" s="13"/>
      <c r="I12" s="13"/>
      <c r="J12" s="13"/>
      <c r="K12" s="14"/>
      <c r="L12" s="13"/>
    </row>
    <row r="13" ht="12.75">
      <c r="K13" s="10"/>
    </row>
    <row r="14" spans="1:11" ht="15.75">
      <c r="A14" s="28" t="s">
        <v>44</v>
      </c>
      <c r="B14" s="7" t="s">
        <v>14</v>
      </c>
      <c r="C14" t="str">
        <f>IMPRODUCT(TAN(PI()/4+δ_1/2),IMEXP(COMPLEX(0,-GHA_1)))</f>
        <v>-0.173620356086783-0.853987992931896i</v>
      </c>
      <c r="K14" s="10"/>
    </row>
    <row r="15" spans="1:11" ht="15.75">
      <c r="A15" s="28"/>
      <c r="B15" s="7" t="s">
        <v>15</v>
      </c>
      <c r="C15" s="3">
        <f>TAN(ZD_1/2)</f>
        <v>0.600365841364391</v>
      </c>
      <c r="K15" s="10"/>
    </row>
    <row r="16" spans="1:11" ht="15.75">
      <c r="A16" s="28"/>
      <c r="B16" s="7" t="s">
        <v>16</v>
      </c>
      <c r="C16" t="str">
        <f>IMPRODUCT(TAN(PI()/4+δ_2/2),IMEXP(COMPLEX(0,-GHA_2)))</f>
        <v>-0.733942446050316-0.471227146748228i</v>
      </c>
      <c r="K16" s="10"/>
    </row>
    <row r="17" spans="1:11" ht="15.75">
      <c r="A17" s="28"/>
      <c r="B17" s="7" t="s">
        <v>17</v>
      </c>
      <c r="C17" s="3">
        <f>TAN(ZD_2/2)</f>
        <v>0.5381318782443991</v>
      </c>
      <c r="K17" s="10"/>
    </row>
    <row r="18" spans="1:11" ht="12.75">
      <c r="A18" s="28"/>
      <c r="B18" s="7"/>
      <c r="K18" s="10"/>
    </row>
    <row r="19" spans="1:11" ht="15.75">
      <c r="A19" s="28"/>
      <c r="B19" s="7" t="s">
        <v>18</v>
      </c>
      <c r="C19" t="str">
        <f>IMPRODUCT((1+ρ_1^2)/(1-ρ_1^2*IMABS(z_p1)^2),z_p1)</f>
        <v>-0.325224078115359-1.59968257169128i</v>
      </c>
      <c r="K19" s="10"/>
    </row>
    <row r="20" spans="1:11" ht="15.75">
      <c r="A20" s="28"/>
      <c r="B20" s="7" t="s">
        <v>19</v>
      </c>
      <c r="C20" s="3">
        <f>(1+IMABS(z_p1)^2)/ABS(1-ρ_1^2*IMABS(z_p1)^2)*ρ_1</f>
        <v>1.4544314156134024</v>
      </c>
      <c r="K20" s="10"/>
    </row>
    <row r="21" spans="1:11" ht="15.75">
      <c r="A21" s="28"/>
      <c r="B21" s="7" t="s">
        <v>20</v>
      </c>
      <c r="C21" t="str">
        <f>IMPRODUCT((1+ρ_2^2)/(1-ρ_2^2*IMABS(z_p2)^2),z_p2)</f>
        <v>-1.21389844199896-0.779382501098831i</v>
      </c>
      <c r="K21" s="10"/>
    </row>
    <row r="22" spans="1:11" ht="15.75">
      <c r="A22" s="28"/>
      <c r="B22" s="7" t="s">
        <v>21</v>
      </c>
      <c r="C22" s="3">
        <f>(1+IMABS(z_p2)^2)/ABS(1-ρ_2^2*IMABS(z_p2)^2)*ρ_2</f>
        <v>1.2152082149489376</v>
      </c>
      <c r="K22" s="10"/>
    </row>
    <row r="23" spans="1:11" ht="12.75">
      <c r="A23" s="28"/>
      <c r="B23" s="7"/>
      <c r="K23" s="10"/>
    </row>
    <row r="24" spans="1:11" ht="12.75">
      <c r="A24" s="28"/>
      <c r="B24" s="7" t="s">
        <v>8</v>
      </c>
      <c r="C24" s="3">
        <f>IMABS(IMSUB(z_c1,z_c2))</f>
        <v>1.2093941999356124</v>
      </c>
      <c r="K24" s="10"/>
    </row>
    <row r="25" spans="1:11" ht="12.75">
      <c r="A25" s="28"/>
      <c r="B25" s="7" t="s">
        <v>9</v>
      </c>
      <c r="C25" s="3">
        <f>(r_1^2-r_2^2)/(2*d^2)</f>
        <v>0.21831831906952584</v>
      </c>
      <c r="K25" s="10"/>
    </row>
    <row r="26" spans="1:11" ht="12.75">
      <c r="A26" s="28"/>
      <c r="B26" s="7" t="s">
        <v>10</v>
      </c>
      <c r="C26" s="3">
        <f>SQRT(4*r_1^2*d^2-(d^2+r_1^2-r_2^2)^2)/(2*d^2)</f>
        <v>0.9645171317385085</v>
      </c>
      <c r="K26" s="10"/>
    </row>
    <row r="27" spans="1:11" ht="12.75">
      <c r="A27" s="28"/>
      <c r="B27" s="7"/>
      <c r="K27" s="10"/>
    </row>
    <row r="28" spans="1:11" ht="12.75">
      <c r="A28" s="28"/>
      <c r="B28" s="7" t="s">
        <v>11</v>
      </c>
      <c r="C28" t="str">
        <f>IMSUM(IMDIV(IMSUM(z_c1,z_c2),2),IMPRODUCT(COMPLEX(μ,ν),IMSUB(z_c2,z_c1)))</f>
        <v>-1.75476862463313-1.86758765235326i</v>
      </c>
      <c r="K28" s="10"/>
    </row>
    <row r="29" spans="1:11" ht="12.75">
      <c r="A29" s="28"/>
      <c r="B29" s="7"/>
      <c r="C29" t="str">
        <f>IMSUM(IMDIV(IMSUM(z_c1,z_c2),2),IMPRODUCT(COMPLEX(μ,-ν),IMSUB(z_c2,z_c1)))</f>
        <v>-0.172381682127683-0.15330435534815i</v>
      </c>
      <c r="K29" s="10"/>
    </row>
    <row r="30" spans="1:12" ht="13.5" thickBot="1">
      <c r="A30" s="13"/>
      <c r="B30" s="15"/>
      <c r="C30" s="13"/>
      <c r="D30" s="13"/>
      <c r="E30" s="13"/>
      <c r="F30" s="13"/>
      <c r="G30" s="13"/>
      <c r="H30" s="13"/>
      <c r="I30" s="13"/>
      <c r="J30" s="13"/>
      <c r="K30" s="14"/>
      <c r="L30" s="13"/>
    </row>
    <row r="31" spans="2:11" ht="12.75">
      <c r="B31" s="7"/>
      <c r="K31" s="10"/>
    </row>
    <row r="32" spans="1:12" ht="12.75">
      <c r="A32" s="28" t="s">
        <v>45</v>
      </c>
      <c r="B32" s="8" t="s">
        <v>22</v>
      </c>
      <c r="C32" s="9" t="str">
        <f>IF(K32&lt;0,"-","")&amp;TEXT(DEGREES(ABS(K32))/24,"[h]º m' ss\""")</f>
        <v>47º 21' 58"</v>
      </c>
      <c r="K32" s="10">
        <f>2*ATAN(IMABS(C28))-PI()/2</f>
        <v>0.8266964101194523</v>
      </c>
      <c r="L32" t="s">
        <v>24</v>
      </c>
    </row>
    <row r="33" spans="1:12" ht="12.75">
      <c r="A33" s="28"/>
      <c r="B33" t="s">
        <v>23</v>
      </c>
      <c r="C33" s="9" t="str">
        <f>IF(K33&lt;0,"-","")&amp;TEXT(DEGREES(ABS(K33))/24,"[h]º m' ss\""")</f>
        <v>-133º 12' 58"</v>
      </c>
      <c r="K33" s="10">
        <f>IMARGUMENT(C28)</f>
        <v>-2.3250593501712253</v>
      </c>
      <c r="L33" t="s">
        <v>24</v>
      </c>
    </row>
    <row r="34" spans="1:11" ht="12.75">
      <c r="A34" s="28"/>
      <c r="B34" s="7"/>
      <c r="K34" s="10"/>
    </row>
    <row r="35" spans="1:12" ht="12.75">
      <c r="A35" s="28"/>
      <c r="B35" s="8" t="s">
        <v>22</v>
      </c>
      <c r="C35" s="9" t="str">
        <f>IF(K35&lt;0,"-","")&amp;TEXT(DEGREES(ABS(K35))/24,"[h]º m' ss\""")</f>
        <v>-64º 1' 10"</v>
      </c>
      <c r="K35" s="10">
        <f>2*ATAN(IMABS(C29))-PI()/2</f>
        <v>-1.1173499322286546</v>
      </c>
      <c r="L35" t="s">
        <v>24</v>
      </c>
    </row>
    <row r="36" spans="1:12" ht="12.75">
      <c r="A36" s="28"/>
      <c r="B36" t="s">
        <v>23</v>
      </c>
      <c r="C36" s="9" t="str">
        <f>IF(K36&lt;0,"-","")&amp;TEXT(DEGREES(ABS(K36))/24,"[h]º m' ss\""")</f>
        <v>-138º 21' 08"</v>
      </c>
      <c r="K36" s="10">
        <f>IMARGUMENT(C29)</f>
        <v>-2.4147034543069035</v>
      </c>
      <c r="L36" t="s">
        <v>24</v>
      </c>
    </row>
    <row r="37" spans="1:12" ht="13.5" thickBot="1">
      <c r="A37" s="13"/>
      <c r="B37" s="15"/>
      <c r="C37" s="13"/>
      <c r="D37" s="13"/>
      <c r="E37" s="13"/>
      <c r="F37" s="13"/>
      <c r="G37" s="13"/>
      <c r="H37" s="13"/>
      <c r="I37" s="13"/>
      <c r="J37" s="13"/>
      <c r="K37" s="13"/>
      <c r="L37" s="13"/>
    </row>
    <row r="38" ht="12.75">
      <c r="B38" s="7"/>
    </row>
    <row r="39" ht="12.75">
      <c r="B39" s="7"/>
    </row>
  </sheetData>
  <mergeCells count="3">
    <mergeCell ref="A3:A9"/>
    <mergeCell ref="A14:A29"/>
    <mergeCell ref="A32:A3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2"/>
  <sheetViews>
    <sheetView workbookViewId="0" topLeftCell="A1">
      <selection activeCell="M41" sqref="M41"/>
    </sheetView>
  </sheetViews>
  <sheetFormatPr defaultColWidth="9.140625" defaultRowHeight="12.75"/>
  <cols>
    <col min="1" max="1" width="4.140625" style="0" bestFit="1" customWidth="1"/>
    <col min="2" max="2" width="19.421875" style="0" bestFit="1" customWidth="1"/>
    <col min="3" max="3" width="9.57421875" style="0" customWidth="1"/>
    <col min="4" max="4" width="1.7109375" style="0" bestFit="1" customWidth="1"/>
    <col min="5" max="5" width="4.57421875" style="0" bestFit="1" customWidth="1"/>
    <col min="6" max="6" width="1.28515625" style="0" bestFit="1" customWidth="1"/>
    <col min="7" max="7" width="3.00390625" style="0" bestFit="1" customWidth="1"/>
    <col min="11" max="11" width="11.28125" style="10" customWidth="1"/>
  </cols>
  <sheetData>
    <row r="1" ht="15.75">
      <c r="B1" s="27" t="s">
        <v>51</v>
      </c>
    </row>
    <row r="3" spans="1:2" ht="12.75">
      <c r="A3" s="29" t="s">
        <v>43</v>
      </c>
      <c r="B3" s="11" t="s">
        <v>26</v>
      </c>
    </row>
    <row r="4" spans="1:12" ht="12.75">
      <c r="A4" s="29"/>
      <c r="B4" s="8" t="s">
        <v>22</v>
      </c>
      <c r="C4" s="8">
        <v>35</v>
      </c>
      <c r="D4" t="s">
        <v>5</v>
      </c>
      <c r="E4" s="6">
        <v>30</v>
      </c>
      <c r="F4" s="1" t="s">
        <v>3</v>
      </c>
      <c r="K4" s="10">
        <f>RADIANS(SIGN(C4)*(ABS(C4)+E4/60))</f>
        <v>0.619591884457987</v>
      </c>
      <c r="L4" t="s">
        <v>24</v>
      </c>
    </row>
    <row r="5" spans="1:12" ht="12.75">
      <c r="A5" s="29"/>
      <c r="B5" t="s">
        <v>23</v>
      </c>
      <c r="C5">
        <v>-9</v>
      </c>
      <c r="D5" t="s">
        <v>5</v>
      </c>
      <c r="E5" s="6">
        <v>30</v>
      </c>
      <c r="F5" s="1" t="s">
        <v>3</v>
      </c>
      <c r="K5" s="10">
        <f>RADIANS(SIGN(C5)*(ABS(C5)+E5/60))</f>
        <v>-0.16580627893946132</v>
      </c>
      <c r="L5" t="s">
        <v>24</v>
      </c>
    </row>
    <row r="6" spans="1:6" ht="12.75">
      <c r="A6" s="29"/>
      <c r="E6" s="6"/>
      <c r="F6" s="1"/>
    </row>
    <row r="7" spans="1:2" ht="12.75">
      <c r="A7" s="29"/>
      <c r="B7" s="11" t="s">
        <v>50</v>
      </c>
    </row>
    <row r="8" spans="1:12" ht="12.75">
      <c r="A8" s="29"/>
      <c r="B8" t="s">
        <v>25</v>
      </c>
      <c r="C8" s="4">
        <v>62</v>
      </c>
      <c r="D8" t="s">
        <v>5</v>
      </c>
      <c r="E8" s="4">
        <v>16</v>
      </c>
      <c r="F8" s="1" t="s">
        <v>3</v>
      </c>
      <c r="G8" s="4">
        <v>0</v>
      </c>
      <c r="H8" s="1" t="s">
        <v>4</v>
      </c>
      <c r="K8" s="10">
        <f>RADIANS(C8+E8/60+G8/3600)</f>
        <v>1.086758347575136</v>
      </c>
      <c r="L8" t="s">
        <v>24</v>
      </c>
    </row>
    <row r="9" spans="1:12" ht="12.75">
      <c r="A9" s="29"/>
      <c r="B9" s="8" t="s">
        <v>27</v>
      </c>
      <c r="C9" s="4">
        <v>38</v>
      </c>
      <c r="D9" t="s">
        <v>5</v>
      </c>
      <c r="E9" s="4">
        <v>40</v>
      </c>
      <c r="F9" s="1" t="s">
        <v>3</v>
      </c>
      <c r="G9" s="4">
        <v>13</v>
      </c>
      <c r="H9" s="1" t="s">
        <v>4</v>
      </c>
      <c r="K9" s="10">
        <f>RADIANS(SIGN(C9)*(ABS(C9)+E9/60+G9/3600))</f>
        <v>0.6749236698830183</v>
      </c>
      <c r="L9" t="s">
        <v>24</v>
      </c>
    </row>
    <row r="10" spans="1:12" ht="13.5" thickBot="1">
      <c r="A10" s="13"/>
      <c r="B10" s="21"/>
      <c r="C10" s="16"/>
      <c r="D10" s="13"/>
      <c r="E10" s="16"/>
      <c r="F10" s="17"/>
      <c r="G10" s="16"/>
      <c r="H10" s="17"/>
      <c r="I10" s="13"/>
      <c r="J10" s="13"/>
      <c r="K10" s="14"/>
      <c r="L10" s="13"/>
    </row>
    <row r="12" spans="1:3" ht="15.75" customHeight="1">
      <c r="A12" s="29" t="s">
        <v>44</v>
      </c>
      <c r="B12" s="7" t="s">
        <v>28</v>
      </c>
      <c r="C12" t="str">
        <f>IMEXP(COMPLEX(0,-λ/2))</f>
        <v>0.996565502497761+8.28082075122044E-002i</v>
      </c>
    </row>
    <row r="13" spans="1:3" ht="15.75" customHeight="1">
      <c r="A13" s="29"/>
      <c r="B13" s="7" t="s">
        <v>29</v>
      </c>
      <c r="C13" t="str">
        <f>IMPRODUCT(-TAN(PI()/4+L/2),IMEXP(COMPLEX(0,λ/2)))</f>
        <v>-1.93495149010083+0.160782070136608i</v>
      </c>
    </row>
    <row r="14" ht="15.75" customHeight="1">
      <c r="A14" s="29"/>
    </row>
    <row r="15" spans="1:3" ht="15.75" customHeight="1">
      <c r="A15" s="29"/>
      <c r="B15" s="7" t="s">
        <v>11</v>
      </c>
      <c r="C15" t="str">
        <f>IMPRODUCT(TAN(PI()/4+δ/2),IMEXP(COMPLEX(0,-GHA)))</f>
        <v>0.968460094085827-1.84204002255684i</v>
      </c>
    </row>
    <row r="16" ht="15.75" customHeight="1">
      <c r="A16" s="29"/>
    </row>
    <row r="17" spans="1:3" ht="15.75" customHeight="1">
      <c r="A17" s="29"/>
      <c r="B17" s="7" t="s">
        <v>30</v>
      </c>
      <c r="C17" t="str">
        <f>IMDIV(IMSUM(IMPRODUCT(a,z),b),IMSUM(IMPRODUCT(-1,IMCONJUGATE(b),z),IMCONJUGATE(a)))</f>
        <v>0.134118058699435-0.35573213541146i</v>
      </c>
    </row>
    <row r="18" spans="1:12" ht="13.5" thickBot="1">
      <c r="A18" s="13"/>
      <c r="B18" s="15"/>
      <c r="C18" s="13"/>
      <c r="D18" s="13"/>
      <c r="E18" s="13"/>
      <c r="F18" s="13"/>
      <c r="G18" s="13"/>
      <c r="H18" s="13"/>
      <c r="I18" s="13"/>
      <c r="J18" s="13"/>
      <c r="K18" s="14"/>
      <c r="L18" s="13"/>
    </row>
    <row r="19" spans="1:12" ht="12.75">
      <c r="A19" s="30" t="s">
        <v>45</v>
      </c>
      <c r="B19" s="22"/>
      <c r="C19" s="23"/>
      <c r="D19" s="23"/>
      <c r="E19" s="23"/>
      <c r="F19" s="23"/>
      <c r="G19" s="23"/>
      <c r="H19" s="23"/>
      <c r="I19" s="23"/>
      <c r="J19" s="23"/>
      <c r="K19" s="24"/>
      <c r="L19" s="23"/>
    </row>
    <row r="20" spans="1:12" ht="15.75" customHeight="1">
      <c r="A20" s="31"/>
      <c r="B20" s="25" t="s">
        <v>31</v>
      </c>
      <c r="C20" s="26" t="str">
        <f>TEXT(DEGREES(K20)/24,"[h]º m' ss\""")</f>
        <v>48º 22' 08"</v>
      </c>
      <c r="D20" s="18"/>
      <c r="E20" s="18"/>
      <c r="F20" s="18"/>
      <c r="G20" s="18"/>
      <c r="H20" s="18"/>
      <c r="I20" s="18"/>
      <c r="J20" s="18"/>
      <c r="K20" s="20">
        <f>PI()/2-2*ATAN(IMABS(w))</f>
        <v>0.8441965445313138</v>
      </c>
      <c r="L20" s="18" t="s">
        <v>24</v>
      </c>
    </row>
    <row r="21" spans="1:12" ht="15.75" customHeight="1">
      <c r="A21" s="31"/>
      <c r="B21" s="25" t="s">
        <v>32</v>
      </c>
      <c r="C21" s="26" t="str">
        <f>TEXT(INT(DEGREES(K21)),"#º")&amp;TEXT(60*(DEGREES(K21)-INT(DEGREES(K21)))," #.0'")</f>
        <v>290º 39.4'</v>
      </c>
      <c r="D21" s="18"/>
      <c r="E21" s="18"/>
      <c r="F21" s="18"/>
      <c r="G21" s="18"/>
      <c r="H21" s="18"/>
      <c r="I21" s="18"/>
      <c r="J21" s="18"/>
      <c r="K21" s="20">
        <f>MOD(IMARGUMENT(w),2*PI())</f>
        <v>5.072929257648786</v>
      </c>
      <c r="L21" s="18" t="s">
        <v>24</v>
      </c>
    </row>
    <row r="22" spans="1:12" ht="15.75" customHeight="1" thickBot="1">
      <c r="A22" s="32"/>
      <c r="B22" s="15"/>
      <c r="C22" s="13"/>
      <c r="D22" s="13"/>
      <c r="E22" s="13"/>
      <c r="F22" s="13"/>
      <c r="G22" s="13"/>
      <c r="H22" s="13"/>
      <c r="I22" s="13"/>
      <c r="J22" s="13"/>
      <c r="K22" s="14"/>
      <c r="L22" s="13"/>
    </row>
  </sheetData>
  <mergeCells count="3">
    <mergeCell ref="A12:A17"/>
    <mergeCell ref="A3:A9"/>
    <mergeCell ref="A19:A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26"/>
  <sheetViews>
    <sheetView workbookViewId="0" topLeftCell="A1">
      <selection activeCell="K32" sqref="K32"/>
    </sheetView>
  </sheetViews>
  <sheetFormatPr defaultColWidth="9.140625" defaultRowHeight="12.75"/>
  <cols>
    <col min="1" max="1" width="4.140625" style="0" bestFit="1" customWidth="1"/>
    <col min="2" max="2" width="25.8515625" style="0" bestFit="1" customWidth="1"/>
    <col min="3" max="3" width="11.8515625" style="0" customWidth="1"/>
    <col min="4" max="4" width="1.7109375" style="0" bestFit="1" customWidth="1"/>
    <col min="5" max="5" width="3.00390625" style="0" bestFit="1" customWidth="1"/>
    <col min="6" max="6" width="2.140625" style="0" bestFit="1" customWidth="1"/>
    <col min="7" max="7" width="3.00390625" style="4" bestFit="1" customWidth="1"/>
    <col min="11" max="11" width="10.57421875" style="10" bestFit="1" customWidth="1"/>
  </cols>
  <sheetData>
    <row r="1" ht="15.75">
      <c r="B1" s="27" t="s">
        <v>53</v>
      </c>
    </row>
    <row r="3" spans="1:12" ht="12.75">
      <c r="A3" s="29" t="s">
        <v>43</v>
      </c>
      <c r="B3" t="s">
        <v>33</v>
      </c>
      <c r="C3" s="4">
        <v>103</v>
      </c>
      <c r="D3" t="s">
        <v>5</v>
      </c>
      <c r="E3" s="4">
        <v>26</v>
      </c>
      <c r="F3" s="1" t="s">
        <v>3</v>
      </c>
      <c r="G3" s="4">
        <v>24</v>
      </c>
      <c r="H3" s="1" t="s">
        <v>4</v>
      </c>
      <c r="K3" s="10">
        <f>RADIANS(C3+E3/60+G3/3600)</f>
        <v>1.8053685782629345</v>
      </c>
      <c r="L3" t="s">
        <v>24</v>
      </c>
    </row>
    <row r="4" spans="1:12" ht="15.75">
      <c r="A4" s="29"/>
      <c r="B4" t="s">
        <v>34</v>
      </c>
      <c r="C4" s="4">
        <v>35</v>
      </c>
      <c r="D4" t="s">
        <v>5</v>
      </c>
      <c r="E4" s="4">
        <v>37</v>
      </c>
      <c r="F4" s="1" t="s">
        <v>3</v>
      </c>
      <c r="G4" s="4">
        <v>28</v>
      </c>
      <c r="H4" s="1" t="s">
        <v>4</v>
      </c>
      <c r="K4" s="10">
        <f>RADIANS(C4+E4/60+G4/3600)</f>
        <v>0.6217638497493577</v>
      </c>
      <c r="L4" t="s">
        <v>24</v>
      </c>
    </row>
    <row r="5" spans="1:12" ht="15.75">
      <c r="A5" s="29"/>
      <c r="B5" t="s">
        <v>35</v>
      </c>
      <c r="C5" s="4">
        <v>40</v>
      </c>
      <c r="D5" t="s">
        <v>5</v>
      </c>
      <c r="E5" s="4">
        <v>17</v>
      </c>
      <c r="F5" s="1" t="s">
        <v>3</v>
      </c>
      <c r="G5" s="4">
        <v>24</v>
      </c>
      <c r="H5" s="1" t="s">
        <v>4</v>
      </c>
      <c r="K5" s="10">
        <f>RADIANS(C5+E5/60+G5/3600)</f>
        <v>0.7031931556285154</v>
      </c>
      <c r="L5" t="s">
        <v>24</v>
      </c>
    </row>
    <row r="6" spans="1:5" ht="12.75">
      <c r="A6" s="29"/>
      <c r="C6" s="4"/>
      <c r="E6" s="4"/>
    </row>
    <row r="7" spans="1:12" ht="15.75">
      <c r="A7" s="29"/>
      <c r="B7" t="s">
        <v>48</v>
      </c>
      <c r="C7" s="4">
        <v>36</v>
      </c>
      <c r="D7" t="s">
        <v>5</v>
      </c>
      <c r="E7" s="4">
        <v>26</v>
      </c>
      <c r="F7" s="1" t="s">
        <v>3</v>
      </c>
      <c r="G7" s="4">
        <v>1</v>
      </c>
      <c r="H7" s="1" t="s">
        <v>4</v>
      </c>
      <c r="K7" s="10">
        <f>RADIANS(C7+E7/60+G7/3600)</f>
        <v>0.6358864722800784</v>
      </c>
      <c r="L7" t="s">
        <v>24</v>
      </c>
    </row>
    <row r="8" spans="1:12" ht="15.75">
      <c r="A8" s="29"/>
      <c r="B8" t="s">
        <v>49</v>
      </c>
      <c r="C8" s="4">
        <v>40</v>
      </c>
      <c r="D8" t="s">
        <v>5</v>
      </c>
      <c r="E8" s="4">
        <v>16</v>
      </c>
      <c r="F8" s="1" t="s">
        <v>3</v>
      </c>
      <c r="G8" s="4">
        <v>15</v>
      </c>
      <c r="H8" s="1" t="s">
        <v>4</v>
      </c>
      <c r="K8" s="10">
        <f>RADIANS(C8+E8/60+G8/3600)</f>
        <v>0.7028586341885499</v>
      </c>
      <c r="L8" t="s">
        <v>24</v>
      </c>
    </row>
    <row r="9" spans="1:12" ht="13.5" thickBot="1">
      <c r="A9" s="13"/>
      <c r="B9" s="13"/>
      <c r="C9" s="16"/>
      <c r="D9" s="13"/>
      <c r="E9" s="16"/>
      <c r="F9" s="17"/>
      <c r="G9" s="16"/>
      <c r="H9" s="17"/>
      <c r="I9" s="13"/>
      <c r="J9" s="13"/>
      <c r="K9" s="14"/>
      <c r="L9" s="13"/>
    </row>
    <row r="11" spans="1:3" ht="15.75">
      <c r="A11" s="29" t="s">
        <v>44</v>
      </c>
      <c r="B11" s="7" t="s">
        <v>36</v>
      </c>
      <c r="C11" s="3">
        <f>TAN(PI()/4-h_M/2)</f>
        <v>0.5136605605869013</v>
      </c>
    </row>
    <row r="12" spans="1:3" ht="15.75">
      <c r="A12" s="29"/>
      <c r="B12" s="7" t="s">
        <v>37</v>
      </c>
      <c r="C12" s="3">
        <f>TAN(PI()/4-h_S/2)</f>
        <v>0.4632302672549814</v>
      </c>
    </row>
    <row r="13" spans="1:3" ht="12.75">
      <c r="A13" s="29"/>
      <c r="B13" s="7"/>
      <c r="C13" s="3"/>
    </row>
    <row r="14" spans="1:3" ht="14.25">
      <c r="A14" s="29"/>
      <c r="B14" s="7" t="s">
        <v>39</v>
      </c>
      <c r="C14" s="3">
        <f>TAN(d_l/2)^2</f>
        <v>1.6056152687952994</v>
      </c>
    </row>
    <row r="15" spans="1:3" ht="12.75">
      <c r="A15" s="29"/>
      <c r="B15" s="7" t="s">
        <v>38</v>
      </c>
      <c r="C15" s="3">
        <f>(z_1^2+z_2^2-(1+z_1^2*z_2^2)*tan2d2)/(2*z_1*z_2*(1+tan2d2))</f>
        <v>-0.982349966193402</v>
      </c>
    </row>
    <row r="16" spans="1:3" ht="12.75">
      <c r="A16" s="29"/>
      <c r="C16" s="3"/>
    </row>
    <row r="17" spans="1:7" ht="15.75">
      <c r="A17" s="29"/>
      <c r="B17" s="7" t="s">
        <v>40</v>
      </c>
      <c r="C17" s="3">
        <f>TAN(PI()/4-hp_M/2)</f>
        <v>0.504768247979221</v>
      </c>
      <c r="F17" s="4"/>
      <c r="G17"/>
    </row>
    <row r="18" spans="1:7" ht="15.75">
      <c r="A18" s="29"/>
      <c r="B18" s="7" t="s">
        <v>41</v>
      </c>
      <c r="C18" s="3">
        <f>TAN(PI()/4-hp_S/2)</f>
        <v>0.4634334349050667</v>
      </c>
      <c r="F18" s="4"/>
      <c r="G18"/>
    </row>
    <row r="19" ht="12.75">
      <c r="A19" s="29"/>
    </row>
    <row r="20" spans="1:3" ht="14.25">
      <c r="A20" s="29"/>
      <c r="B20" s="7" t="s">
        <v>42</v>
      </c>
      <c r="C20" s="3">
        <f>(zp_1^2+zp_2^2-2*zp_1*zp_2*cosθ)/(1+zp_1^2*zp_2^2+2*zp_1*zp_2*cosθ)</f>
        <v>1.5612769082699252</v>
      </c>
    </row>
    <row r="21" spans="1:12" ht="13.5" thickBot="1">
      <c r="A21" s="13"/>
      <c r="B21" s="13"/>
      <c r="C21" s="13"/>
      <c r="D21" s="13"/>
      <c r="E21" s="13"/>
      <c r="F21" s="13"/>
      <c r="G21" s="16"/>
      <c r="H21" s="13"/>
      <c r="I21" s="13"/>
      <c r="J21" s="13"/>
      <c r="K21" s="14"/>
      <c r="L21" s="13"/>
    </row>
    <row r="22" spans="1:12" ht="12.75">
      <c r="A22" s="30" t="s">
        <v>45</v>
      </c>
      <c r="B22" s="18"/>
      <c r="C22" s="18"/>
      <c r="D22" s="18"/>
      <c r="E22" s="18"/>
      <c r="F22" s="18"/>
      <c r="G22" s="19"/>
      <c r="H22" s="18"/>
      <c r="I22" s="18"/>
      <c r="J22" s="18"/>
      <c r="K22" s="20"/>
      <c r="L22" s="18"/>
    </row>
    <row r="23" ht="12.75" customHeight="1">
      <c r="A23" s="31"/>
    </row>
    <row r="24" spans="1:12" ht="12.75">
      <c r="A24" s="31"/>
      <c r="B24" s="8" t="s">
        <v>52</v>
      </c>
      <c r="C24" t="str">
        <f>TEXT(DEGREES(K24)/24,"[h]º m' ss.0\""")</f>
        <v>102º 39' 30.6"</v>
      </c>
      <c r="K24" s="10">
        <f>2*ATAN(SQRT(tan2dp2))</f>
        <v>1.7917287599364216</v>
      </c>
      <c r="L24" t="s">
        <v>24</v>
      </c>
    </row>
    <row r="25" spans="1:2" ht="12.75">
      <c r="A25" s="31"/>
      <c r="B25" s="7"/>
    </row>
    <row r="26" spans="1:12" ht="13.5" thickBot="1">
      <c r="A26" s="32"/>
      <c r="B26" s="13"/>
      <c r="C26" s="13"/>
      <c r="D26" s="13"/>
      <c r="E26" s="13"/>
      <c r="F26" s="13"/>
      <c r="G26" s="16"/>
      <c r="H26" s="13"/>
      <c r="I26" s="13"/>
      <c r="J26" s="13"/>
      <c r="K26" s="14"/>
      <c r="L26" s="13"/>
    </row>
  </sheetData>
  <mergeCells count="3">
    <mergeCell ref="A3:A8"/>
    <mergeCell ref="A11:A20"/>
    <mergeCell ref="A22:A2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Stuart</dc:creator>
  <cp:keywords/>
  <dc:description/>
  <cp:lastModifiedBy>Robin Stuart</cp:lastModifiedBy>
  <dcterms:created xsi:type="dcterms:W3CDTF">2009-11-26T21:54:19Z</dcterms:created>
  <dcterms:modified xsi:type="dcterms:W3CDTF">2009-11-28T21:47:46Z</dcterms:modified>
  <cp:category/>
  <cp:version/>
  <cp:contentType/>
  <cp:contentStatus/>
</cp:coreProperties>
</file>