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4220" windowHeight="9345" activeTab="0"/>
  </bookViews>
  <sheets>
    <sheet name="Info" sheetId="1" r:id="rId1"/>
    <sheet name="Double Altitude" sheetId="2" r:id="rId2"/>
    <sheet name="Altitude Azimuth" sheetId="3" r:id="rId3"/>
    <sheet name="Lunar Distances" sheetId="4" r:id="rId4"/>
    <sheet name="Angular Distances" sheetId="5" r:id="rId5"/>
    <sheet name="Ellenborough" sheetId="6" r:id="rId6"/>
  </sheets>
  <definedNames>
    <definedName name="a">'Altitude Azimuth'!$C$12</definedName>
    <definedName name="b">'Altitude Azimuth'!$C$13</definedName>
    <definedName name="cosθ">'Lunar Distances'!$C$15</definedName>
    <definedName name="d">'Double Altitude'!$C$24</definedName>
    <definedName name="d_l">'Lunar Distances'!$K$3</definedName>
    <definedName name="GHA">'Altitude Azimuth'!$K$8</definedName>
    <definedName name="GHA_1">'Double Altitude'!$K$4</definedName>
    <definedName name="GHA_2">'Double Altitude'!$K$9</definedName>
    <definedName name="GHA1">'Double Altitude'!$K$4</definedName>
    <definedName name="GHA2">'Double Altitude'!$K$9</definedName>
    <definedName name="h_M">'Lunar Distances'!$K$4</definedName>
    <definedName name="h_S">'Lunar Distances'!$K$5</definedName>
    <definedName name="hM">'Lunar Distances'!$K$4</definedName>
    <definedName name="hp_M">'Lunar Distances'!$K$7</definedName>
    <definedName name="hp_S">'Lunar Distances'!$K$8</definedName>
    <definedName name="hpM">'Lunar Distances'!$K$7</definedName>
    <definedName name="hpS">'Lunar Distances'!$K$8</definedName>
    <definedName name="hS">'Lunar Distances'!$K$5</definedName>
    <definedName name="L">'Altitude Azimuth'!$K$4</definedName>
    <definedName name="r_1">'Double Altitude'!$C$20</definedName>
    <definedName name="r_2">'Double Altitude'!$C$22</definedName>
    <definedName name="RA_1">'Ellenborough'!$K$4</definedName>
    <definedName name="RA_2">'Ellenborough'!$K$8</definedName>
    <definedName name="tan2d2">'Lunar Distances'!$C$14</definedName>
    <definedName name="tan2dp2">'Lunar Distances'!$C$20</definedName>
    <definedName name="tand">'Lunar Distances'!$C$14</definedName>
    <definedName name="w">'Altitude Azimuth'!$C$17</definedName>
    <definedName name="z">'Altitude Azimuth'!$C$15</definedName>
    <definedName name="z_1">'Lunar Distances'!$C$11</definedName>
    <definedName name="z_2">'Lunar Distances'!$C$12</definedName>
    <definedName name="z_c1">'Double Altitude'!$C$19</definedName>
    <definedName name="z_c2">'Double Altitude'!$C$21</definedName>
    <definedName name="z_p1">'Double Altitude'!$C$14</definedName>
    <definedName name="z_p2">'Double Altitude'!$C$16</definedName>
    <definedName name="zc1">'Double Altitude'!$C$19</definedName>
    <definedName name="zc2">'Double Altitude'!$C$21</definedName>
    <definedName name="ZD_1">'Double Altitude'!$K$6</definedName>
    <definedName name="ZD_2">'Double Altitude'!$K$11</definedName>
    <definedName name="ZD1">'Double Altitude'!$K$6</definedName>
    <definedName name="ZD2">'Double Altitude'!$K$11</definedName>
    <definedName name="zp_1">'Lunar Distances'!$C$17</definedName>
    <definedName name="zp_2">'Lunar Distances'!$C$18</definedName>
    <definedName name="zp1">'Double Altitude'!$C$14</definedName>
    <definedName name="zp2">'Double Altitude'!$C$16</definedName>
    <definedName name="δ">'Altitude Azimuth'!$K$9</definedName>
    <definedName name="δ_1">'Double Altitude'!$K$5</definedName>
    <definedName name="δ_2">'Double Altitude'!$K$10</definedName>
    <definedName name="δ1" localSheetId="5">'Ellenborough'!$K$5</definedName>
    <definedName name="δ1">'Double Altitude'!$K$5</definedName>
    <definedName name="δ2" localSheetId="5">'Ellenborough'!$K$9</definedName>
    <definedName name="δ2">'Double Altitude'!$K$10</definedName>
    <definedName name="λ">'Altitude Azimuth'!$K$5</definedName>
    <definedName name="μ">'Double Altitude'!$C$25</definedName>
    <definedName name="ν">'Double Altitude'!$C$26</definedName>
    <definedName name="ρ_1">'Double Altitude'!$C$15</definedName>
    <definedName name="ρ_2">'Double Altitude'!$C$17</definedName>
    <definedName name="ρ1">'Double Altitude'!$C$15</definedName>
    <definedName name="ρ2">'Double Altitude'!$C$17</definedName>
  </definedNames>
  <calcPr fullCalcOnLoad="1"/>
</workbook>
</file>

<file path=xl/sharedStrings.xml><?xml version="1.0" encoding="utf-8"?>
<sst xmlns="http://schemas.openxmlformats.org/spreadsheetml/2006/main" count="196" uniqueCount="83">
  <si>
    <t>h</t>
  </si>
  <si>
    <t>m</t>
  </si>
  <si>
    <t>s</t>
  </si>
  <si>
    <t>'</t>
  </si>
  <si>
    <t>"</t>
  </si>
  <si>
    <t>°</t>
  </si>
  <si>
    <r>
      <t>GHA</t>
    </r>
    <r>
      <rPr>
        <vertAlign val="subscript"/>
        <sz val="10"/>
        <rFont val="Arial"/>
        <family val="2"/>
      </rPr>
      <t>1</t>
    </r>
  </si>
  <si>
    <r>
      <t>GHA</t>
    </r>
    <r>
      <rPr>
        <vertAlign val="subscript"/>
        <sz val="10"/>
        <rFont val="Arial"/>
        <family val="2"/>
      </rPr>
      <t>2</t>
    </r>
  </si>
  <si>
    <t>d</t>
  </si>
  <si>
    <t>μ</t>
  </si>
  <si>
    <t>ν</t>
  </si>
  <si>
    <t>z</t>
  </si>
  <si>
    <r>
      <t>Declination,</t>
    </r>
    <r>
      <rPr>
        <i/>
        <sz val="10"/>
        <rFont val="Arial"/>
        <family val="2"/>
      </rPr>
      <t xml:space="preserve"> δ</t>
    </r>
    <r>
      <rPr>
        <i/>
        <vertAlign val="subscript"/>
        <sz val="10"/>
        <rFont val="Arial"/>
        <family val="2"/>
      </rPr>
      <t>1</t>
    </r>
  </si>
  <si>
    <r>
      <t xml:space="preserve">Declination, </t>
    </r>
    <r>
      <rPr>
        <i/>
        <sz val="10"/>
        <rFont val="Arial"/>
        <family val="2"/>
      </rPr>
      <t>δ</t>
    </r>
    <r>
      <rPr>
        <i/>
        <vertAlign val="subscript"/>
        <sz val="10"/>
        <rFont val="Arial"/>
        <family val="2"/>
      </rPr>
      <t>2</t>
    </r>
  </si>
  <si>
    <r>
      <t>z</t>
    </r>
    <r>
      <rPr>
        <i/>
        <vertAlign val="subscript"/>
        <sz val="10"/>
        <rFont val="Arial"/>
        <family val="2"/>
      </rPr>
      <t>p1</t>
    </r>
  </si>
  <si>
    <r>
      <t>ρ</t>
    </r>
    <r>
      <rPr>
        <i/>
        <vertAlign val="subscript"/>
        <sz val="10"/>
        <rFont val="Arial"/>
        <family val="2"/>
      </rPr>
      <t>1</t>
    </r>
  </si>
  <si>
    <r>
      <t>z</t>
    </r>
    <r>
      <rPr>
        <i/>
        <vertAlign val="subscript"/>
        <sz val="10"/>
        <rFont val="Arial"/>
        <family val="2"/>
      </rPr>
      <t>p2</t>
    </r>
  </si>
  <si>
    <r>
      <t>ρ</t>
    </r>
    <r>
      <rPr>
        <i/>
        <vertAlign val="subscript"/>
        <sz val="10"/>
        <rFont val="Arial"/>
        <family val="2"/>
      </rPr>
      <t>2</t>
    </r>
  </si>
  <si>
    <r>
      <t>z</t>
    </r>
    <r>
      <rPr>
        <i/>
        <vertAlign val="subscript"/>
        <sz val="10"/>
        <rFont val="Arial"/>
        <family val="2"/>
      </rPr>
      <t>c1</t>
    </r>
  </si>
  <si>
    <r>
      <t>r</t>
    </r>
    <r>
      <rPr>
        <i/>
        <vertAlign val="subscript"/>
        <sz val="10"/>
        <rFont val="Arial"/>
        <family val="2"/>
      </rPr>
      <t>1</t>
    </r>
  </si>
  <si>
    <r>
      <t>z</t>
    </r>
    <r>
      <rPr>
        <i/>
        <vertAlign val="subscript"/>
        <sz val="10"/>
        <rFont val="Arial"/>
        <family val="2"/>
      </rPr>
      <t>c2</t>
    </r>
  </si>
  <si>
    <r>
      <t>r</t>
    </r>
    <r>
      <rPr>
        <i/>
        <vertAlign val="subscript"/>
        <sz val="10"/>
        <rFont val="Arial"/>
        <family val="2"/>
      </rPr>
      <t>2</t>
    </r>
  </si>
  <si>
    <r>
      <t>Latitude,</t>
    </r>
    <r>
      <rPr>
        <i/>
        <sz val="10"/>
        <rFont val="Arial"/>
        <family val="2"/>
      </rPr>
      <t xml:space="preserve"> L</t>
    </r>
  </si>
  <si>
    <r>
      <t xml:space="preserve">Longitude, </t>
    </r>
    <r>
      <rPr>
        <i/>
        <sz val="10"/>
        <rFont val="Arial"/>
        <family val="2"/>
      </rPr>
      <t>λ</t>
    </r>
  </si>
  <si>
    <t>radians</t>
  </si>
  <si>
    <t>GHA</t>
  </si>
  <si>
    <t>Assumed Position</t>
  </si>
  <si>
    <r>
      <t>Declination,</t>
    </r>
    <r>
      <rPr>
        <i/>
        <sz val="10"/>
        <rFont val="Arial"/>
        <family val="2"/>
      </rPr>
      <t xml:space="preserve"> δ</t>
    </r>
  </si>
  <si>
    <t>a</t>
  </si>
  <si>
    <t>b</t>
  </si>
  <si>
    <t>T(z) ≡ w =</t>
  </si>
  <si>
    <r>
      <t>Altitude,</t>
    </r>
    <r>
      <rPr>
        <i/>
        <sz val="10"/>
        <rFont val="Arial"/>
        <family val="2"/>
      </rPr>
      <t xml:space="preserve"> h</t>
    </r>
  </si>
  <si>
    <r>
      <t>Azimuth,</t>
    </r>
    <r>
      <rPr>
        <i/>
        <sz val="10"/>
        <rFont val="Arial"/>
        <family val="2"/>
      </rPr>
      <t xml:space="preserve"> Z</t>
    </r>
  </si>
  <si>
    <r>
      <t xml:space="preserve">Apparent lunar distance, </t>
    </r>
    <r>
      <rPr>
        <i/>
        <sz val="10"/>
        <rFont val="Arial"/>
        <family val="2"/>
      </rPr>
      <t>d</t>
    </r>
  </si>
  <si>
    <r>
      <t xml:space="preserve">Apparent lunar altitude, </t>
    </r>
    <r>
      <rPr>
        <i/>
        <sz val="10"/>
        <rFont val="Arial"/>
        <family val="2"/>
      </rPr>
      <t>h</t>
    </r>
    <r>
      <rPr>
        <i/>
        <vertAlign val="subscript"/>
        <sz val="10"/>
        <rFont val="Arial"/>
        <family val="2"/>
      </rPr>
      <t>M</t>
    </r>
  </si>
  <si>
    <r>
      <t xml:space="preserve">Apparent stellar altitude, </t>
    </r>
    <r>
      <rPr>
        <i/>
        <sz val="10"/>
        <rFont val="Arial"/>
        <family val="2"/>
      </rPr>
      <t>h</t>
    </r>
    <r>
      <rPr>
        <i/>
        <vertAlign val="subscript"/>
        <sz val="10"/>
        <rFont val="Arial"/>
        <family val="2"/>
      </rPr>
      <t>S</t>
    </r>
  </si>
  <si>
    <r>
      <t>|z</t>
    </r>
    <r>
      <rPr>
        <i/>
        <vertAlign val="subscript"/>
        <sz val="10"/>
        <rFont val="Arial"/>
        <family val="2"/>
      </rPr>
      <t>1</t>
    </r>
    <r>
      <rPr>
        <i/>
        <sz val="10"/>
        <rFont val="Arial"/>
        <family val="2"/>
      </rPr>
      <t>|</t>
    </r>
  </si>
  <si>
    <r>
      <t>|z</t>
    </r>
    <r>
      <rPr>
        <i/>
        <vertAlign val="subscript"/>
        <sz val="10"/>
        <rFont val="Arial"/>
        <family val="2"/>
      </rPr>
      <t>2</t>
    </r>
    <r>
      <rPr>
        <i/>
        <sz val="10"/>
        <rFont val="Arial"/>
        <family val="2"/>
      </rPr>
      <t>|</t>
    </r>
  </si>
  <si>
    <t>cos θ</t>
  </si>
  <si>
    <r>
      <t>tan</t>
    </r>
    <r>
      <rPr>
        <i/>
        <vertAlign val="superscript"/>
        <sz val="10"/>
        <rFont val="Arial"/>
        <family val="2"/>
      </rPr>
      <t>2</t>
    </r>
    <r>
      <rPr>
        <i/>
        <sz val="10"/>
        <rFont val="Arial"/>
        <family val="2"/>
      </rPr>
      <t>d/2</t>
    </r>
  </si>
  <si>
    <r>
      <t>|z'</t>
    </r>
    <r>
      <rPr>
        <i/>
        <vertAlign val="subscript"/>
        <sz val="10"/>
        <rFont val="Arial"/>
        <family val="2"/>
      </rPr>
      <t>1</t>
    </r>
    <r>
      <rPr>
        <i/>
        <sz val="10"/>
        <rFont val="Arial"/>
        <family val="2"/>
      </rPr>
      <t>|</t>
    </r>
  </si>
  <si>
    <r>
      <t>|z'</t>
    </r>
    <r>
      <rPr>
        <i/>
        <vertAlign val="subscript"/>
        <sz val="10"/>
        <rFont val="Arial"/>
        <family val="2"/>
      </rPr>
      <t>2</t>
    </r>
    <r>
      <rPr>
        <i/>
        <sz val="10"/>
        <rFont val="Arial"/>
        <family val="2"/>
      </rPr>
      <t>|</t>
    </r>
  </si>
  <si>
    <r>
      <t>tan</t>
    </r>
    <r>
      <rPr>
        <i/>
        <vertAlign val="superscript"/>
        <sz val="10"/>
        <rFont val="Arial"/>
        <family val="2"/>
      </rPr>
      <t>2</t>
    </r>
    <r>
      <rPr>
        <i/>
        <sz val="10"/>
        <rFont val="Arial"/>
        <family val="2"/>
      </rPr>
      <t>d'/2</t>
    </r>
  </si>
  <si>
    <t>Inputs</t>
  </si>
  <si>
    <t>Calculations</t>
  </si>
  <si>
    <t>Results</t>
  </si>
  <si>
    <r>
      <t>Sun at 1</t>
    </r>
    <r>
      <rPr>
        <b/>
        <vertAlign val="superscript"/>
        <sz val="10"/>
        <rFont val="Arial"/>
        <family val="2"/>
      </rPr>
      <t>st</t>
    </r>
    <r>
      <rPr>
        <b/>
        <sz val="10"/>
        <rFont val="Arial"/>
        <family val="2"/>
      </rPr>
      <t xml:space="preserve"> observation</t>
    </r>
  </si>
  <si>
    <r>
      <t>Sun at 2</t>
    </r>
    <r>
      <rPr>
        <b/>
        <vertAlign val="superscript"/>
        <sz val="10"/>
        <rFont val="Arial"/>
        <family val="2"/>
      </rPr>
      <t>nd</t>
    </r>
    <r>
      <rPr>
        <b/>
        <sz val="10"/>
        <rFont val="Arial"/>
        <family val="2"/>
      </rPr>
      <t xml:space="preserve"> observation</t>
    </r>
  </si>
  <si>
    <r>
      <t xml:space="preserve">Geocentric lunar altitude, </t>
    </r>
    <r>
      <rPr>
        <i/>
        <sz val="10"/>
        <rFont val="Arial"/>
        <family val="2"/>
      </rPr>
      <t>h'</t>
    </r>
    <r>
      <rPr>
        <i/>
        <vertAlign val="subscript"/>
        <sz val="10"/>
        <rFont val="Arial"/>
        <family val="2"/>
      </rPr>
      <t>M</t>
    </r>
  </si>
  <si>
    <r>
      <t xml:space="preserve">Geocentric stellar altitude, </t>
    </r>
    <r>
      <rPr>
        <i/>
        <sz val="10"/>
        <rFont val="Arial"/>
        <family val="2"/>
      </rPr>
      <t>h'</t>
    </r>
    <r>
      <rPr>
        <i/>
        <vertAlign val="subscript"/>
        <sz val="10"/>
        <rFont val="Arial"/>
        <family val="2"/>
      </rPr>
      <t>S</t>
    </r>
  </si>
  <si>
    <t>Vega at observation</t>
  </si>
  <si>
    <r>
      <t>Geocentric lunar distance,</t>
    </r>
    <r>
      <rPr>
        <i/>
        <sz val="10"/>
        <rFont val="Arial"/>
        <family val="2"/>
      </rPr>
      <t xml:space="preserve"> d'</t>
    </r>
  </si>
  <si>
    <t>Clearing Lunar Distance Sight</t>
  </si>
  <si>
    <t>Position from Double Altitude Sight of the Sun</t>
  </si>
  <si>
    <r>
      <t xml:space="preserve">Zenithal Distance, </t>
    </r>
    <r>
      <rPr>
        <sz val="10"/>
        <rFont val="Arial"/>
        <family val="2"/>
      </rPr>
      <t>ZD</t>
    </r>
    <r>
      <rPr>
        <vertAlign val="subscript"/>
        <sz val="10"/>
        <rFont val="Arial"/>
        <family val="2"/>
      </rPr>
      <t>1</t>
    </r>
  </si>
  <si>
    <r>
      <t xml:space="preserve">Zenithal Distance, </t>
    </r>
    <r>
      <rPr>
        <sz val="10"/>
        <rFont val="Arial"/>
        <family val="2"/>
      </rPr>
      <t>ZD</t>
    </r>
    <r>
      <rPr>
        <vertAlign val="subscript"/>
        <sz val="10"/>
        <rFont val="Arial"/>
        <family val="2"/>
      </rPr>
      <t>2</t>
    </r>
  </si>
  <si>
    <t>Altitude and Azimuth</t>
  </si>
  <si>
    <r>
      <t>z</t>
    </r>
    <r>
      <rPr>
        <i/>
        <vertAlign val="subscript"/>
        <sz val="10"/>
        <rFont val="Arial"/>
        <family val="2"/>
      </rPr>
      <t>1</t>
    </r>
  </si>
  <si>
    <r>
      <t>z</t>
    </r>
    <r>
      <rPr>
        <i/>
        <vertAlign val="subscript"/>
        <sz val="10"/>
        <rFont val="Arial"/>
        <family val="2"/>
      </rPr>
      <t>2</t>
    </r>
  </si>
  <si>
    <r>
      <t>Right Ascension, α</t>
    </r>
    <r>
      <rPr>
        <vertAlign val="subscript"/>
        <sz val="10"/>
        <rFont val="Arial"/>
        <family val="2"/>
      </rPr>
      <t>2</t>
    </r>
  </si>
  <si>
    <r>
      <t>Right Ascension, α</t>
    </r>
    <r>
      <rPr>
        <vertAlign val="subscript"/>
        <sz val="10"/>
        <rFont val="Arial"/>
        <family val="2"/>
      </rPr>
      <t>1</t>
    </r>
  </si>
  <si>
    <t>Control</t>
  </si>
  <si>
    <t>Select</t>
  </si>
  <si>
    <t>Declination or Latitude</t>
  </si>
  <si>
    <r>
      <t>z</t>
    </r>
    <r>
      <rPr>
        <i/>
        <vertAlign val="subscript"/>
        <sz val="10"/>
        <rFont val="Arial"/>
        <family val="2"/>
      </rPr>
      <t>p</t>
    </r>
    <r>
      <rPr>
        <vertAlign val="subscript"/>
        <sz val="10"/>
        <rFont val="Arial"/>
        <family val="2"/>
      </rPr>
      <t>1</t>
    </r>
  </si>
  <si>
    <r>
      <t>z</t>
    </r>
    <r>
      <rPr>
        <i/>
        <vertAlign val="subscript"/>
        <sz val="10"/>
        <rFont val="Arial"/>
        <family val="2"/>
      </rPr>
      <t>p</t>
    </r>
    <r>
      <rPr>
        <vertAlign val="subscript"/>
        <sz val="10"/>
        <rFont val="Arial"/>
        <family val="2"/>
      </rPr>
      <t>2</t>
    </r>
  </si>
  <si>
    <r>
      <t>Declination,</t>
    </r>
    <r>
      <rPr>
        <i/>
        <sz val="10"/>
        <rFont val="Arial"/>
        <family val="2"/>
      </rPr>
      <t xml:space="preserve"> δ</t>
    </r>
    <r>
      <rPr>
        <vertAlign val="subscript"/>
        <sz val="10"/>
        <rFont val="Arial"/>
        <family val="2"/>
      </rPr>
      <t>1</t>
    </r>
  </si>
  <si>
    <r>
      <t xml:space="preserve">Declination, </t>
    </r>
    <r>
      <rPr>
        <i/>
        <sz val="10"/>
        <rFont val="Arial"/>
        <family val="2"/>
      </rPr>
      <t>δ</t>
    </r>
    <r>
      <rPr>
        <vertAlign val="subscript"/>
        <sz val="10"/>
        <rFont val="Arial"/>
        <family val="2"/>
      </rPr>
      <t>2</t>
    </r>
  </si>
  <si>
    <r>
      <t>z</t>
    </r>
    <r>
      <rPr>
        <vertAlign val="subscript"/>
        <sz val="10"/>
        <rFont val="Arial"/>
        <family val="2"/>
      </rPr>
      <t>1</t>
    </r>
  </si>
  <si>
    <r>
      <t>z</t>
    </r>
    <r>
      <rPr>
        <vertAlign val="subscript"/>
        <sz val="10"/>
        <rFont val="Arial"/>
        <family val="2"/>
      </rPr>
      <t>2</t>
    </r>
  </si>
  <si>
    <r>
      <t>|(</t>
    </r>
    <r>
      <rPr>
        <i/>
        <sz val="10"/>
        <rFont val="Arial"/>
        <family val="2"/>
      </rPr>
      <t>z</t>
    </r>
    <r>
      <rPr>
        <vertAlign val="subscript"/>
        <sz val="10"/>
        <rFont val="Arial"/>
        <family val="2"/>
      </rPr>
      <t>1</t>
    </r>
    <r>
      <rPr>
        <sz val="10"/>
        <rFont val="Arial"/>
        <family val="2"/>
      </rPr>
      <t>-</t>
    </r>
    <r>
      <rPr>
        <i/>
        <sz val="10"/>
        <rFont val="Arial"/>
        <family val="2"/>
      </rPr>
      <t>z</t>
    </r>
    <r>
      <rPr>
        <vertAlign val="subscript"/>
        <sz val="10"/>
        <rFont val="Arial"/>
        <family val="2"/>
      </rPr>
      <t>2</t>
    </r>
    <r>
      <rPr>
        <sz val="10"/>
        <rFont val="Arial"/>
        <family val="2"/>
      </rPr>
      <t>)(1+</t>
    </r>
    <r>
      <rPr>
        <i/>
        <sz val="10"/>
        <rFont val="Arial"/>
        <family val="2"/>
      </rPr>
      <t>z</t>
    </r>
    <r>
      <rPr>
        <vertAlign val="subscript"/>
        <sz val="10"/>
        <rFont val="Arial"/>
        <family val="2"/>
      </rPr>
      <t>1</t>
    </r>
    <r>
      <rPr>
        <i/>
        <sz val="10"/>
        <rFont val="Symbol"/>
        <family val="1"/>
      </rPr>
      <t>`</t>
    </r>
    <r>
      <rPr>
        <i/>
        <sz val="10"/>
        <rFont val="Arial"/>
        <family val="2"/>
      </rPr>
      <t>z</t>
    </r>
    <r>
      <rPr>
        <vertAlign val="subscript"/>
        <sz val="10"/>
        <rFont val="Arial"/>
        <family val="2"/>
      </rPr>
      <t>2</t>
    </r>
    <r>
      <rPr>
        <sz val="10"/>
        <rFont val="Arial"/>
        <family val="2"/>
      </rPr>
      <t>)|</t>
    </r>
  </si>
  <si>
    <r>
      <t>2 Im(</t>
    </r>
    <r>
      <rPr>
        <i/>
        <sz val="10"/>
        <rFont val="Arial"/>
        <family val="2"/>
      </rPr>
      <t>z</t>
    </r>
    <r>
      <rPr>
        <vertAlign val="subscript"/>
        <sz val="10"/>
        <rFont val="Arial"/>
        <family val="2"/>
      </rPr>
      <t>1</t>
    </r>
    <r>
      <rPr>
        <i/>
        <sz val="10"/>
        <rFont val="Symbol"/>
        <family val="1"/>
      </rPr>
      <t>`</t>
    </r>
    <r>
      <rPr>
        <i/>
        <sz val="10"/>
        <rFont val="Arial"/>
        <family val="2"/>
      </rPr>
      <t>z</t>
    </r>
    <r>
      <rPr>
        <vertAlign val="subscript"/>
        <sz val="10"/>
        <rFont val="Arial"/>
        <family val="2"/>
      </rPr>
      <t>2</t>
    </r>
    <r>
      <rPr>
        <sz val="10"/>
        <rFont val="Arial"/>
        <family val="2"/>
      </rPr>
      <t>)</t>
    </r>
  </si>
  <si>
    <t>Fictitious Stars Positions</t>
  </si>
  <si>
    <t>Lord Ellenborough's Method</t>
  </si>
  <si>
    <t>α Ursae Minoris (Polaris)</t>
  </si>
  <si>
    <t>α Tauri (Aldebaran)</t>
  </si>
  <si>
    <r>
      <t>(1-|</t>
    </r>
    <r>
      <rPr>
        <i/>
        <sz val="10"/>
        <rFont val="Arial"/>
        <family val="2"/>
      </rPr>
      <t>z</t>
    </r>
    <r>
      <rPr>
        <vertAlign val="subscript"/>
        <sz val="10"/>
        <rFont val="Arial"/>
        <family val="2"/>
      </rPr>
      <t>2</t>
    </r>
    <r>
      <rPr>
        <sz val="10"/>
        <rFont val="Arial"/>
        <family val="2"/>
      </rPr>
      <t>|</t>
    </r>
    <r>
      <rPr>
        <vertAlign val="superscript"/>
        <sz val="10"/>
        <rFont val="Arial"/>
        <family val="2"/>
      </rPr>
      <t>2</t>
    </r>
    <r>
      <rPr>
        <sz val="10"/>
        <rFont val="Arial"/>
        <family val="2"/>
      </rPr>
      <t>)</t>
    </r>
    <r>
      <rPr>
        <sz val="10"/>
        <rFont val="Symbol"/>
        <family val="1"/>
      </rPr>
      <t>`</t>
    </r>
    <r>
      <rPr>
        <i/>
        <sz val="10"/>
        <rFont val="Arial"/>
        <family val="2"/>
      </rPr>
      <t>z</t>
    </r>
    <r>
      <rPr>
        <vertAlign val="subscript"/>
        <sz val="10"/>
        <rFont val="Arial"/>
        <family val="2"/>
      </rPr>
      <t xml:space="preserve">1 </t>
    </r>
    <r>
      <rPr>
        <sz val="10"/>
        <rFont val="Arial"/>
        <family val="2"/>
      </rPr>
      <t>- (1-|</t>
    </r>
    <r>
      <rPr>
        <i/>
        <sz val="10"/>
        <rFont val="Arial"/>
        <family val="2"/>
      </rPr>
      <t>z</t>
    </r>
    <r>
      <rPr>
        <vertAlign val="subscript"/>
        <sz val="10"/>
        <rFont val="Arial"/>
        <family val="2"/>
      </rPr>
      <t>1</t>
    </r>
    <r>
      <rPr>
        <sz val="10"/>
        <rFont val="Arial"/>
        <family val="2"/>
      </rPr>
      <t>|</t>
    </r>
    <r>
      <rPr>
        <vertAlign val="superscript"/>
        <sz val="10"/>
        <rFont val="Arial"/>
        <family val="2"/>
      </rPr>
      <t>2</t>
    </r>
    <r>
      <rPr>
        <sz val="10"/>
        <rFont val="Arial"/>
        <family val="2"/>
      </rPr>
      <t>)</t>
    </r>
    <r>
      <rPr>
        <sz val="10"/>
        <rFont val="Symbol"/>
        <family val="1"/>
      </rPr>
      <t>`</t>
    </r>
    <r>
      <rPr>
        <i/>
        <sz val="10"/>
        <rFont val="Arial"/>
        <family val="2"/>
      </rPr>
      <t>z</t>
    </r>
    <r>
      <rPr>
        <vertAlign val="subscript"/>
        <sz val="10"/>
        <rFont val="Arial"/>
        <family val="2"/>
      </rPr>
      <t>2</t>
    </r>
  </si>
  <si>
    <r>
      <t>|(</t>
    </r>
    <r>
      <rPr>
        <i/>
        <sz val="10"/>
        <rFont val="Arial"/>
        <family val="2"/>
      </rPr>
      <t>z</t>
    </r>
    <r>
      <rPr>
        <vertAlign val="subscript"/>
        <sz val="10"/>
        <rFont val="Arial"/>
        <family val="2"/>
      </rPr>
      <t>1</t>
    </r>
    <r>
      <rPr>
        <sz val="10"/>
        <rFont val="Arial"/>
        <family val="0"/>
      </rPr>
      <t>-</t>
    </r>
    <r>
      <rPr>
        <i/>
        <sz val="10"/>
        <rFont val="Arial"/>
        <family val="2"/>
      </rPr>
      <t>z</t>
    </r>
    <r>
      <rPr>
        <vertAlign val="subscript"/>
        <sz val="10"/>
        <rFont val="Arial"/>
        <family val="2"/>
      </rPr>
      <t>2</t>
    </r>
    <r>
      <rPr>
        <sz val="10"/>
        <rFont val="Arial"/>
        <family val="0"/>
      </rPr>
      <t>)/(</t>
    </r>
    <r>
      <rPr>
        <sz val="10"/>
        <rFont val="Symbol"/>
        <family val="1"/>
      </rPr>
      <t>`</t>
    </r>
    <r>
      <rPr>
        <i/>
        <sz val="10"/>
        <rFont val="Arial"/>
        <family val="2"/>
      </rPr>
      <t>z</t>
    </r>
    <r>
      <rPr>
        <vertAlign val="subscript"/>
        <sz val="10"/>
        <rFont val="Arial"/>
        <family val="2"/>
      </rPr>
      <t>2</t>
    </r>
    <r>
      <rPr>
        <i/>
        <sz val="10"/>
        <rFont val="Arial"/>
        <family val="2"/>
      </rPr>
      <t>z</t>
    </r>
    <r>
      <rPr>
        <vertAlign val="subscript"/>
        <sz val="10"/>
        <rFont val="Arial"/>
        <family val="2"/>
      </rPr>
      <t>1</t>
    </r>
    <r>
      <rPr>
        <sz val="10"/>
        <rFont val="Arial"/>
        <family val="0"/>
      </rPr>
      <t>+1)|</t>
    </r>
  </si>
  <si>
    <t>Angular Distance between Stars</t>
  </si>
  <si>
    <t>RA, GHA or Longitude</t>
  </si>
  <si>
    <r>
      <t xml:space="preserve">Angular Distance, </t>
    </r>
    <r>
      <rPr>
        <i/>
        <sz val="10"/>
        <rFont val="Arial"/>
        <family val="2"/>
      </rPr>
      <t>d</t>
    </r>
  </si>
  <si>
    <r>
      <t>Format for 2</t>
    </r>
    <r>
      <rPr>
        <vertAlign val="superscript"/>
        <sz val="10"/>
        <rFont val="Arial"/>
        <family val="2"/>
      </rPr>
      <t>nd</t>
    </r>
    <r>
      <rPr>
        <sz val="10"/>
        <rFont val="Arial"/>
        <family val="0"/>
      </rPr>
      <t xml:space="preserve"> point</t>
    </r>
  </si>
  <si>
    <r>
      <t>Format for 1</t>
    </r>
    <r>
      <rPr>
        <vertAlign val="superscript"/>
        <sz val="10"/>
        <rFont val="Arial"/>
        <family val="2"/>
      </rPr>
      <t>st</t>
    </r>
    <r>
      <rPr>
        <sz val="10"/>
        <rFont val="Arial"/>
        <family val="0"/>
      </rPr>
      <t xml:space="preserve"> point</t>
    </r>
  </si>
</sst>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00"/>
    <numFmt numFmtId="165" formatCode="0.0"/>
    <numFmt numFmtId="166" formatCode="0.0000000000"/>
    <numFmt numFmtId="167" formatCode="0.00000000000"/>
    <numFmt numFmtId="168" formatCode="0.00000000"/>
    <numFmt numFmtId="169" formatCode="0.0000000"/>
    <numFmt numFmtId="170" formatCode="00"/>
    <numFmt numFmtId="171" formatCode="00.00"/>
    <numFmt numFmtId="172" formatCode="00.0"/>
    <numFmt numFmtId="173" formatCode="[$-1409]h:mm:ss\ AM/PM"/>
    <numFmt numFmtId="174" formatCode="0.000"/>
    <numFmt numFmtId="175" formatCode="0.0000"/>
    <numFmt numFmtId="176" formatCode="0.00000"/>
    <numFmt numFmtId="177" formatCode="0.000000000"/>
    <numFmt numFmtId="178" formatCode="0.000000000000"/>
    <numFmt numFmtId="179" formatCode="0.0000000000000"/>
    <numFmt numFmtId="180" formatCode="0.00000000000000"/>
    <numFmt numFmtId="181" formatCode="0.000000000000000"/>
    <numFmt numFmtId="182" formatCode="0.0000000000000000"/>
    <numFmt numFmtId="183" formatCode="0.00000000000000000"/>
    <numFmt numFmtId="184" formatCode="0.000000000000000000"/>
    <numFmt numFmtId="185" formatCode="0.0000000000000000000"/>
    <numFmt numFmtId="186" formatCode="0.00000000000000000000"/>
  </numFmts>
  <fonts count="20">
    <font>
      <sz val="10"/>
      <name val="Arial"/>
      <family val="0"/>
    </font>
    <font>
      <vertAlign val="superscript"/>
      <sz val="10"/>
      <name val="Arial"/>
      <family val="0"/>
    </font>
    <font>
      <vertAlign val="subscript"/>
      <sz val="10"/>
      <name val="Arial"/>
      <family val="2"/>
    </font>
    <font>
      <sz val="8"/>
      <name val="Arial"/>
      <family val="0"/>
    </font>
    <font>
      <i/>
      <sz val="10"/>
      <name val="Arial"/>
      <family val="2"/>
    </font>
    <font>
      <i/>
      <vertAlign val="subscript"/>
      <sz val="10"/>
      <name val="Arial"/>
      <family val="2"/>
    </font>
    <font>
      <b/>
      <sz val="10"/>
      <name val="Arial"/>
      <family val="2"/>
    </font>
    <font>
      <i/>
      <vertAlign val="superscript"/>
      <sz val="10"/>
      <name val="Arial"/>
      <family val="2"/>
    </font>
    <font>
      <b/>
      <vertAlign val="superscript"/>
      <sz val="10"/>
      <name val="Arial"/>
      <family val="2"/>
    </font>
    <font>
      <b/>
      <u val="single"/>
      <sz val="12"/>
      <name val="Arial"/>
      <family val="2"/>
    </font>
    <font>
      <u val="single"/>
      <sz val="10"/>
      <color indexed="12"/>
      <name val="Arial"/>
      <family val="0"/>
    </font>
    <font>
      <u val="single"/>
      <sz val="10"/>
      <color indexed="36"/>
      <name val="Arial"/>
      <family val="0"/>
    </font>
    <font>
      <sz val="10"/>
      <color indexed="9"/>
      <name val="Arial"/>
      <family val="0"/>
    </font>
    <font>
      <b/>
      <sz val="12"/>
      <color indexed="9"/>
      <name val="Arial"/>
      <family val="0"/>
    </font>
    <font>
      <sz val="10"/>
      <name val="Times New Roman MT Extra Bold"/>
      <family val="1"/>
    </font>
    <font>
      <sz val="10"/>
      <name val="Symbol"/>
      <family val="1"/>
    </font>
    <font>
      <b/>
      <u val="single"/>
      <sz val="10"/>
      <name val="Arial"/>
      <family val="2"/>
    </font>
    <font>
      <sz val="8"/>
      <name val="Tahoma"/>
      <family val="2"/>
    </font>
    <font>
      <u val="single"/>
      <sz val="10"/>
      <name val="Arial"/>
      <family val="0"/>
    </font>
    <font>
      <i/>
      <sz val="10"/>
      <name val="Symbol"/>
      <family val="1"/>
    </font>
  </fonts>
  <fills count="3">
    <fill>
      <patternFill/>
    </fill>
    <fill>
      <patternFill patternType="gray125"/>
    </fill>
    <fill>
      <patternFill patternType="solid">
        <fgColor indexed="8"/>
        <bgColor indexed="64"/>
      </patternFill>
    </fill>
  </fills>
  <borders count="3">
    <border>
      <left/>
      <right/>
      <top/>
      <bottom/>
      <diagonal/>
    </border>
    <border>
      <left>
        <color indexed="63"/>
      </left>
      <right>
        <color indexed="63"/>
      </right>
      <top>
        <color indexed="63"/>
      </top>
      <bottom style="medium"/>
    </border>
    <border>
      <left>
        <color indexed="63"/>
      </left>
      <right>
        <color indexed="63"/>
      </right>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50">
    <xf numFmtId="0" fontId="0" fillId="0" borderId="0" xfId="0" applyAlignment="1">
      <alignment/>
    </xf>
    <xf numFmtId="0" fontId="0" fillId="0" borderId="0" xfId="0" applyAlignment="1" quotePrefix="1">
      <alignment/>
    </xf>
    <xf numFmtId="0" fontId="1" fillId="0" borderId="0" xfId="0" applyFont="1" applyAlignment="1">
      <alignment/>
    </xf>
    <xf numFmtId="164" fontId="0" fillId="0" borderId="0" xfId="0" applyNumberFormat="1" applyAlignment="1">
      <alignment/>
    </xf>
    <xf numFmtId="1" fontId="0" fillId="0" borderId="0" xfId="0" applyNumberFormat="1" applyAlignment="1">
      <alignment/>
    </xf>
    <xf numFmtId="165" fontId="0" fillId="0" borderId="0" xfId="0" applyNumberFormat="1" applyAlignment="1">
      <alignment/>
    </xf>
    <xf numFmtId="0" fontId="4" fillId="0" borderId="0" xfId="0" applyFont="1" applyAlignment="1">
      <alignment/>
    </xf>
    <xf numFmtId="0" fontId="0" fillId="0" borderId="0" xfId="0" applyFont="1" applyAlignment="1">
      <alignment/>
    </xf>
    <xf numFmtId="0" fontId="0" fillId="0" borderId="0" xfId="0" applyAlignment="1">
      <alignment horizontal="right"/>
    </xf>
    <xf numFmtId="168" fontId="0" fillId="0" borderId="0" xfId="0" applyNumberFormat="1" applyAlignment="1">
      <alignment/>
    </xf>
    <xf numFmtId="0" fontId="6" fillId="0" borderId="0" xfId="0" applyFont="1" applyAlignment="1">
      <alignment/>
    </xf>
    <xf numFmtId="0" fontId="0" fillId="0" borderId="1" xfId="0" applyBorder="1" applyAlignment="1">
      <alignment/>
    </xf>
    <xf numFmtId="168" fontId="0" fillId="0" borderId="1" xfId="0" applyNumberFormat="1" applyBorder="1" applyAlignment="1">
      <alignment/>
    </xf>
    <xf numFmtId="0" fontId="4" fillId="0" borderId="1" xfId="0" applyFont="1" applyBorder="1" applyAlignment="1">
      <alignment/>
    </xf>
    <xf numFmtId="1" fontId="0" fillId="0" borderId="1" xfId="0" applyNumberFormat="1" applyBorder="1" applyAlignment="1">
      <alignment/>
    </xf>
    <xf numFmtId="0" fontId="0" fillId="0" borderId="1" xfId="0" applyBorder="1" applyAlignment="1" quotePrefix="1">
      <alignment/>
    </xf>
    <xf numFmtId="0" fontId="0" fillId="0" borderId="0" xfId="0" applyBorder="1" applyAlignment="1">
      <alignment/>
    </xf>
    <xf numFmtId="1" fontId="0" fillId="0" borderId="0" xfId="0" applyNumberFormat="1" applyBorder="1" applyAlignment="1">
      <alignment/>
    </xf>
    <xf numFmtId="168" fontId="0" fillId="0" borderId="0" xfId="0" applyNumberFormat="1" applyBorder="1" applyAlignment="1">
      <alignment/>
    </xf>
    <xf numFmtId="0" fontId="0" fillId="0" borderId="1" xfId="0" applyFont="1" applyBorder="1" applyAlignment="1">
      <alignment/>
    </xf>
    <xf numFmtId="0" fontId="4" fillId="0" borderId="2" xfId="0" applyFont="1" applyBorder="1" applyAlignment="1">
      <alignment/>
    </xf>
    <xf numFmtId="0" fontId="0" fillId="0" borderId="2" xfId="0" applyBorder="1" applyAlignment="1">
      <alignment/>
    </xf>
    <xf numFmtId="168" fontId="0" fillId="0" borderId="2" xfId="0" applyNumberFormat="1" applyBorder="1" applyAlignment="1">
      <alignment/>
    </xf>
    <xf numFmtId="0" fontId="0" fillId="0" borderId="0" xfId="0" applyFont="1" applyBorder="1" applyAlignment="1">
      <alignment/>
    </xf>
    <xf numFmtId="0" fontId="0" fillId="0" borderId="0" xfId="0" applyBorder="1" applyAlignment="1">
      <alignment horizontal="right"/>
    </xf>
    <xf numFmtId="0" fontId="9" fillId="0" borderId="0" xfId="0" applyFont="1" applyAlignment="1">
      <alignment/>
    </xf>
    <xf numFmtId="170" fontId="0" fillId="0" borderId="0" xfId="0" applyNumberFormat="1" applyAlignment="1">
      <alignment/>
    </xf>
    <xf numFmtId="171" fontId="0" fillId="0" borderId="0" xfId="0" applyNumberFormat="1" applyAlignment="1">
      <alignment/>
    </xf>
    <xf numFmtId="172" fontId="0" fillId="0" borderId="0" xfId="0" applyNumberFormat="1" applyAlignment="1">
      <alignment/>
    </xf>
    <xf numFmtId="0" fontId="12" fillId="2" borderId="0" xfId="0" applyFont="1" applyFill="1" applyAlignment="1">
      <alignment/>
    </xf>
    <xf numFmtId="0" fontId="12" fillId="2" borderId="1" xfId="0" applyFont="1" applyFill="1" applyBorder="1" applyAlignment="1">
      <alignment/>
    </xf>
    <xf numFmtId="0" fontId="14" fillId="0" borderId="0" xfId="0" applyFont="1" applyAlignment="1">
      <alignment/>
    </xf>
    <xf numFmtId="0" fontId="12" fillId="2" borderId="0" xfId="0" applyFont="1" applyFill="1" applyAlignment="1">
      <alignment/>
    </xf>
    <xf numFmtId="0" fontId="13" fillId="2" borderId="0" xfId="0" applyFont="1" applyFill="1" applyAlignment="1">
      <alignment horizontal="center" vertical="center" textRotation="90"/>
    </xf>
    <xf numFmtId="0" fontId="12" fillId="2" borderId="1" xfId="0" applyFont="1" applyFill="1" applyBorder="1" applyAlignment="1">
      <alignment/>
    </xf>
    <xf numFmtId="0" fontId="12" fillId="2" borderId="0" xfId="0" applyFont="1" applyFill="1" applyBorder="1" applyAlignment="1">
      <alignment/>
    </xf>
    <xf numFmtId="0" fontId="4" fillId="0" borderId="0" xfId="0" applyFont="1" applyBorder="1" applyAlignment="1">
      <alignment/>
    </xf>
    <xf numFmtId="0" fontId="16" fillId="0" borderId="0" xfId="0" applyFont="1" applyBorder="1" applyAlignment="1">
      <alignment/>
    </xf>
    <xf numFmtId="46" fontId="0" fillId="0" borderId="0" xfId="0" applyNumberFormat="1" applyAlignment="1">
      <alignment horizontal="right"/>
    </xf>
    <xf numFmtId="0" fontId="0" fillId="0" borderId="0" xfId="0" applyFont="1" applyAlignment="1">
      <alignment/>
    </xf>
    <xf numFmtId="0" fontId="18" fillId="0" borderId="0" xfId="0" applyFont="1" applyBorder="1" applyAlignment="1">
      <alignment/>
    </xf>
    <xf numFmtId="0" fontId="6" fillId="0" borderId="0" xfId="0" applyFont="1" applyAlignment="1">
      <alignment/>
    </xf>
    <xf numFmtId="0" fontId="13" fillId="2" borderId="0" xfId="0" applyFont="1" applyFill="1" applyAlignment="1">
      <alignment horizontal="center" vertical="center" textRotation="90"/>
    </xf>
    <xf numFmtId="0" fontId="13" fillId="2" borderId="0" xfId="0" applyFont="1" applyFill="1" applyAlignment="1">
      <alignment horizontal="center" vertical="center" textRotation="90"/>
    </xf>
    <xf numFmtId="0" fontId="13" fillId="2" borderId="2" xfId="0" applyFont="1" applyFill="1" applyBorder="1" applyAlignment="1">
      <alignment horizontal="center" vertical="center" textRotation="90"/>
    </xf>
    <xf numFmtId="0" fontId="13" fillId="2" borderId="0" xfId="0" applyFont="1" applyFill="1" applyBorder="1" applyAlignment="1">
      <alignment horizontal="center" vertical="center" textRotation="90"/>
    </xf>
    <xf numFmtId="0" fontId="13" fillId="2" borderId="1" xfId="0" applyFont="1" applyFill="1" applyBorder="1" applyAlignment="1">
      <alignment horizontal="center" vertical="center" textRotation="90"/>
    </xf>
    <xf numFmtId="0" fontId="13" fillId="2" borderId="2" xfId="0" applyFont="1" applyFill="1" applyBorder="1" applyAlignment="1">
      <alignment horizontal="center" vertical="center" textRotation="90"/>
    </xf>
    <xf numFmtId="0" fontId="13" fillId="2" borderId="0" xfId="0" applyFont="1" applyFill="1" applyBorder="1" applyAlignment="1">
      <alignment horizontal="center" vertical="center" textRotation="90"/>
    </xf>
    <xf numFmtId="0" fontId="13" fillId="2" borderId="1" xfId="0" applyFont="1" applyFill="1" applyBorder="1" applyAlignment="1">
      <alignment horizontal="center" vertical="center" textRotation="9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95250</xdr:rowOff>
    </xdr:from>
    <xdr:to>
      <xdr:col>8</xdr:col>
      <xdr:colOff>533400</xdr:colOff>
      <xdr:row>24</xdr:row>
      <xdr:rowOff>76200</xdr:rowOff>
    </xdr:to>
    <xdr:sp>
      <xdr:nvSpPr>
        <xdr:cNvPr id="1" name="TextBox 1"/>
        <xdr:cNvSpPr txBox="1">
          <a:spLocks noChangeArrowheads="1"/>
        </xdr:cNvSpPr>
      </xdr:nvSpPr>
      <xdr:spPr>
        <a:xfrm>
          <a:off x="66675" y="95250"/>
          <a:ext cx="5343525" cy="3867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latin typeface="Arial"/>
              <a:ea typeface="Arial"/>
              <a:cs typeface="Arial"/>
            </a:rPr>
            <a:t>ComplexCelNavDemoMystic.xls
</a:t>
          </a:r>
          <a:r>
            <a:rPr lang="en-US" cap="none" sz="1000" b="0" i="0" u="none" baseline="0">
              <a:latin typeface="Arial"/>
              <a:ea typeface="Arial"/>
              <a:cs typeface="Arial"/>
            </a:rPr>
            <a:t> by Robin G. Stuart 
Demonstrates the use of complex numbers in calculations performed in celestial navigation as part of a talk entitled </a:t>
          </a:r>
          <a:r>
            <a:rPr lang="en-US" cap="none" sz="1000" b="0" i="1" u="none" baseline="0">
              <a:latin typeface="Arial"/>
              <a:ea typeface="Arial"/>
              <a:cs typeface="Arial"/>
            </a:rPr>
            <a:t>Celestial Navigation on the Complex Plane</a:t>
          </a:r>
          <a:r>
            <a:rPr lang="en-US" cap="none" sz="1000" b="0" i="0" u="none" baseline="0">
              <a:latin typeface="Arial"/>
              <a:ea typeface="Arial"/>
              <a:cs typeface="Arial"/>
            </a:rPr>
            <a:t> presented at the 2010 Navigation Weekend at Mystic, Connecticut, USA 4-5 June 2010. The examples given are based on the paper </a:t>
          </a:r>
          <a:r>
            <a:rPr lang="en-US" cap="none" sz="1000" b="0" i="1" u="none" baseline="0">
              <a:latin typeface="Arial"/>
              <a:ea typeface="Arial"/>
              <a:cs typeface="Arial"/>
            </a:rPr>
            <a:t>Applications of Complex Analysis to Celestial Navigation, that appeared </a:t>
          </a:r>
          <a:r>
            <a:rPr lang="en-US" cap="none" sz="1000" b="0" i="0" u="none" baseline="0">
              <a:latin typeface="Arial"/>
              <a:ea typeface="Arial"/>
              <a:cs typeface="Arial"/>
            </a:rPr>
            <a:t>in NAVIGATION: Journal of the Institute of Navigation, </a:t>
          </a:r>
          <a:r>
            <a:rPr lang="en-US" cap="none" sz="1000" b="1" i="0" u="none" baseline="0">
              <a:latin typeface="Arial"/>
              <a:ea typeface="Arial"/>
              <a:cs typeface="Arial"/>
            </a:rPr>
            <a:t>55</a:t>
          </a:r>
          <a:r>
            <a:rPr lang="en-US" cap="none" sz="1000" b="0" i="0" u="none" baseline="0">
              <a:latin typeface="Arial"/>
              <a:ea typeface="Arial"/>
              <a:cs typeface="Arial"/>
            </a:rPr>
            <a:t> (2009) 221-227. A preprint version is available at http://www.fer3.com/arc/img/110015.articlec.pdf.
Each sheet consists of three sections; Inputs, Calculations, Results. The values of the Inputs are initially set to those given in the talk. The inputs may be changed to perform the same calculations for other sets of observations.
The spreadsheet uses the Excel Engineering functions IMSUM(), IMPRODUCT() etc. to the perform the complex number calculations. To ensure that these are available to the system, on the Excel toolbar select Tools&gt;Addins and check "Analysis ToolPak".
The Excel implementation using functions IMSUM(), IMPRODUCT() etc. to perform arithmetic operations on complex numbers means that formulas that appear here are less compact and transparent than they are in computer languages, such as FORTRAN, C++, PERL, in which complex numbers are a built in native data type.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24</xdr:row>
      <xdr:rowOff>57150</xdr:rowOff>
    </xdr:from>
    <xdr:to>
      <xdr:col>6</xdr:col>
      <xdr:colOff>276225</xdr:colOff>
      <xdr:row>26</xdr:row>
      <xdr:rowOff>47625</xdr:rowOff>
    </xdr:to>
    <xdr:grpSp>
      <xdr:nvGrpSpPr>
        <xdr:cNvPr id="1" name="Group 24"/>
        <xdr:cNvGrpSpPr>
          <a:grpSpLocks/>
        </xdr:cNvGrpSpPr>
      </xdr:nvGrpSpPr>
      <xdr:grpSpPr>
        <a:xfrm>
          <a:off x="1809750" y="3857625"/>
          <a:ext cx="1428750" cy="219075"/>
          <a:chOff x="190" y="405"/>
          <a:chExt cx="150" cy="23"/>
        </a:xfrm>
        <a:solidFill>
          <a:srgbClr val="FFFFFF"/>
        </a:solidFill>
      </xdr:grpSpPr>
    </xdr:grpSp>
    <xdr:clientData/>
  </xdr:twoCellAnchor>
  <xdr:twoCellAnchor>
    <xdr:from>
      <xdr:col>2</xdr:col>
      <xdr:colOff>0</xdr:colOff>
      <xdr:row>22</xdr:row>
      <xdr:rowOff>123825</xdr:rowOff>
    </xdr:from>
    <xdr:to>
      <xdr:col>6</xdr:col>
      <xdr:colOff>266700</xdr:colOff>
      <xdr:row>24</xdr:row>
      <xdr:rowOff>28575</xdr:rowOff>
    </xdr:to>
    <xdr:grpSp>
      <xdr:nvGrpSpPr>
        <xdr:cNvPr id="5" name="Group 25"/>
        <xdr:cNvGrpSpPr>
          <a:grpSpLocks/>
        </xdr:cNvGrpSpPr>
      </xdr:nvGrpSpPr>
      <xdr:grpSpPr>
        <a:xfrm>
          <a:off x="1809750" y="3581400"/>
          <a:ext cx="1419225" cy="247650"/>
          <a:chOff x="190" y="376"/>
          <a:chExt cx="149" cy="26"/>
        </a:xfrm>
        <a:solidFill>
          <a:srgbClr val="FFFFFF"/>
        </a:solidFill>
      </xdr:grpSpPr>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
  <sheetViews>
    <sheetView tabSelected="1" workbookViewId="0" topLeftCell="A1">
      <selection activeCell="I34" sqref="I34"/>
    </sheetView>
  </sheetViews>
  <sheetFormatPr defaultColWidth="9.140625" defaultRowHeight="12.75"/>
  <sheetData/>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N39"/>
  <sheetViews>
    <sheetView workbookViewId="0" topLeftCell="A1">
      <selection activeCell="C7" sqref="C7"/>
    </sheetView>
  </sheetViews>
  <sheetFormatPr defaultColWidth="9.140625" defaultRowHeight="12.75"/>
  <cols>
    <col min="1" max="1" width="4.140625" style="7" bestFit="1" customWidth="1"/>
    <col min="2" max="2" width="21.7109375" style="0" bestFit="1" customWidth="1"/>
    <col min="3" max="3" width="11.8515625" style="0" customWidth="1"/>
    <col min="4" max="4" width="1.7109375" style="0" bestFit="1" customWidth="1"/>
    <col min="5" max="5" width="3.57421875" style="0" customWidth="1"/>
    <col min="6" max="6" width="2.140625" style="0" bestFit="1" customWidth="1"/>
    <col min="7" max="7" width="6.00390625" style="0" bestFit="1" customWidth="1"/>
    <col min="8" max="8" width="1.7109375" style="0" bestFit="1" customWidth="1"/>
    <col min="9" max="9" width="10.421875" style="0" customWidth="1"/>
    <col min="11" max="11" width="12.421875" style="0" customWidth="1"/>
    <col min="14" max="14" width="14.00390625" style="0" customWidth="1"/>
  </cols>
  <sheetData>
    <row r="1" spans="1:2" ht="15.75">
      <c r="A1" s="32"/>
      <c r="B1" s="25" t="s">
        <v>53</v>
      </c>
    </row>
    <row r="2" ht="12.75">
      <c r="A2" s="32"/>
    </row>
    <row r="3" spans="1:2" ht="12.75" customHeight="1">
      <c r="A3" s="42" t="s">
        <v>43</v>
      </c>
      <c r="B3" s="10" t="s">
        <v>46</v>
      </c>
    </row>
    <row r="4" spans="1:12" ht="15.75">
      <c r="A4" s="42"/>
      <c r="B4" t="s">
        <v>6</v>
      </c>
      <c r="C4" s="4">
        <v>0</v>
      </c>
      <c r="D4" s="2" t="s">
        <v>0</v>
      </c>
      <c r="E4" s="26">
        <v>59</v>
      </c>
      <c r="F4" s="2" t="s">
        <v>1</v>
      </c>
      <c r="G4" s="27">
        <v>59.0957</v>
      </c>
      <c r="H4" s="2" t="s">
        <v>2</v>
      </c>
      <c r="K4" s="9">
        <f>RADIANS(15*(C4+E4/60+G4/3600))</f>
        <v>0.2617336252473753</v>
      </c>
      <c r="L4" t="s">
        <v>24</v>
      </c>
    </row>
    <row r="5" spans="1:12" ht="15.75">
      <c r="A5" s="42"/>
      <c r="B5" t="s">
        <v>12</v>
      </c>
      <c r="C5" s="4">
        <v>-4</v>
      </c>
      <c r="D5" t="s">
        <v>5</v>
      </c>
      <c r="E5" s="26">
        <v>59</v>
      </c>
      <c r="F5" s="1" t="s">
        <v>3</v>
      </c>
      <c r="G5" s="28">
        <v>19.85</v>
      </c>
      <c r="H5" s="1" t="s">
        <v>4</v>
      </c>
      <c r="K5" s="9">
        <f>RADIANS(IF(OR(C5&lt;0,E5&lt;0,G5&lt;0),-1,1)*(ABS(C5)+ABS(E5)/60+ABS(G5)/3600))</f>
        <v>-0.08707180990675101</v>
      </c>
      <c r="L5" t="s">
        <v>24</v>
      </c>
    </row>
    <row r="6" spans="1:12" ht="15.75">
      <c r="A6" s="42"/>
      <c r="B6" t="s">
        <v>54</v>
      </c>
      <c r="C6" s="4">
        <v>40</v>
      </c>
      <c r="D6" t="s">
        <v>5</v>
      </c>
      <c r="E6" s="26">
        <v>0</v>
      </c>
      <c r="F6" s="1" t="s">
        <v>3</v>
      </c>
      <c r="G6" s="26">
        <v>0</v>
      </c>
      <c r="H6" s="1" t="s">
        <v>4</v>
      </c>
      <c r="K6" s="9">
        <f>RADIANS(IF(OR(C6&lt;0,E6&lt;0,G6&lt;0),-1,1)*(ABS(C6)+ABS(E6)/60+ABS(G6)/3600))</f>
        <v>0.6981317007977318</v>
      </c>
      <c r="L6" t="s">
        <v>24</v>
      </c>
    </row>
    <row r="7" spans="1:11" ht="5.25" customHeight="1">
      <c r="A7" s="42"/>
      <c r="C7" s="4"/>
      <c r="E7" s="4"/>
      <c r="F7" s="1"/>
      <c r="G7" s="4"/>
      <c r="H7" s="1"/>
      <c r="K7" s="9"/>
    </row>
    <row r="8" spans="1:11" ht="14.25">
      <c r="A8" s="42"/>
      <c r="B8" s="10" t="s">
        <v>47</v>
      </c>
      <c r="C8" s="4"/>
      <c r="E8" s="4"/>
      <c r="K8" s="9"/>
    </row>
    <row r="9" spans="1:14" ht="15.75">
      <c r="A9" s="42"/>
      <c r="B9" t="s">
        <v>7</v>
      </c>
      <c r="C9" s="4">
        <v>4</v>
      </c>
      <c r="D9" s="2" t="s">
        <v>0</v>
      </c>
      <c r="E9" s="26">
        <v>59</v>
      </c>
      <c r="F9" s="2" t="s">
        <v>1</v>
      </c>
      <c r="G9" s="27">
        <v>58.9665</v>
      </c>
      <c r="H9" s="2" t="s">
        <v>2</v>
      </c>
      <c r="K9" s="9">
        <f>RADIANS(15*(C9+E9/60+G9/3600))</f>
        <v>1.3089217807548332</v>
      </c>
      <c r="L9" t="s">
        <v>24</v>
      </c>
      <c r="N9" s="31"/>
    </row>
    <row r="10" spans="1:12" ht="15.75">
      <c r="A10" s="33"/>
      <c r="B10" t="s">
        <v>13</v>
      </c>
      <c r="C10" s="4">
        <v>-4</v>
      </c>
      <c r="D10" t="s">
        <v>5</v>
      </c>
      <c r="E10" s="26">
        <v>55</v>
      </c>
      <c r="F10" s="1" t="s">
        <v>3</v>
      </c>
      <c r="G10" s="28">
        <v>25.97</v>
      </c>
      <c r="H10" s="1" t="s">
        <v>4</v>
      </c>
      <c r="K10" s="9">
        <f>RADIANS(IF(OR(C10&lt;0,E10&lt;0,G10&lt;0),-1,1)*(ABS(C10)+ABS(E10)/60+ABS(G10)/3600))</f>
        <v>-0.08593792766937203</v>
      </c>
      <c r="L10" t="s">
        <v>24</v>
      </c>
    </row>
    <row r="11" spans="1:12" ht="15.75">
      <c r="A11" s="33"/>
      <c r="B11" t="s">
        <v>55</v>
      </c>
      <c r="C11" s="4">
        <v>56</v>
      </c>
      <c r="D11" t="s">
        <v>5</v>
      </c>
      <c r="E11" s="26">
        <v>42</v>
      </c>
      <c r="F11" s="1" t="s">
        <v>3</v>
      </c>
      <c r="G11" s="26">
        <v>15</v>
      </c>
      <c r="H11" s="1" t="s">
        <v>4</v>
      </c>
      <c r="K11" s="9">
        <f>RADIANS(IF(OR(C11&lt;0,E11&lt;0,G11&lt;0),-1,1)*(ABS(C11)+ABS(E11)/60+ABS(G11)/3600))</f>
        <v>0.9896744079329514</v>
      </c>
      <c r="L11" t="s">
        <v>24</v>
      </c>
    </row>
    <row r="12" spans="1:12" ht="5.25" customHeight="1" thickBot="1">
      <c r="A12" s="34"/>
      <c r="B12" s="11"/>
      <c r="C12" s="11"/>
      <c r="D12" s="11"/>
      <c r="E12" s="11"/>
      <c r="F12" s="11"/>
      <c r="G12" s="11"/>
      <c r="H12" s="11"/>
      <c r="I12" s="11"/>
      <c r="J12" s="11"/>
      <c r="K12" s="12"/>
      <c r="L12" s="11"/>
    </row>
    <row r="13" spans="1:11" ht="12.75">
      <c r="A13" s="32"/>
      <c r="K13" s="9"/>
    </row>
    <row r="14" spans="1:11" ht="15.75">
      <c r="A14" s="42" t="s">
        <v>44</v>
      </c>
      <c r="B14" s="6" t="s">
        <v>14</v>
      </c>
      <c r="C14" t="str">
        <f>IMPRODUCT(TAN(PI()/4+δ_1/2),IMEXP(COMPLEX(0,-GHA_1)))</f>
        <v>0.885296506243674-0.237152085690398i</v>
      </c>
      <c r="K14" s="9"/>
    </row>
    <row r="15" spans="1:11" ht="15.75">
      <c r="A15" s="42"/>
      <c r="B15" s="6" t="s">
        <v>15</v>
      </c>
      <c r="C15" s="3">
        <f>TAN(ZD_1/2)</f>
        <v>0.36397023426620234</v>
      </c>
      <c r="K15" s="9"/>
    </row>
    <row r="16" spans="1:11" ht="15.75">
      <c r="A16" s="42"/>
      <c r="B16" s="6" t="s">
        <v>16</v>
      </c>
      <c r="C16" t="str">
        <f>IMPRODUCT(TAN(PI()/4+δ_2/2),IMEXP(COMPLEX(0,-GHA_2)))</f>
        <v>0.237547047555908-0.886271202961888i</v>
      </c>
      <c r="K16" s="9"/>
    </row>
    <row r="17" spans="1:11" ht="15.75">
      <c r="A17" s="42"/>
      <c r="B17" s="6" t="s">
        <v>17</v>
      </c>
      <c r="C17" s="3">
        <f>TAN(ZD_2/2)</f>
        <v>0.539617670659945</v>
      </c>
      <c r="K17" s="9"/>
    </row>
    <row r="18" spans="1:11" ht="4.5" customHeight="1">
      <c r="A18" s="42"/>
      <c r="B18" s="6"/>
      <c r="K18" s="9"/>
    </row>
    <row r="19" spans="1:11" ht="15.75">
      <c r="A19" s="42"/>
      <c r="B19" s="6" t="s">
        <v>18</v>
      </c>
      <c r="C19" t="str">
        <f>IMPRODUCT((1+ρ_1^2)/(1-ρ_1^2*IMABS(z_p1)^2),z_p1)</f>
        <v>1.12810836339466-0.302196212655319i</v>
      </c>
      <c r="K19" s="9"/>
    </row>
    <row r="20" spans="1:11" ht="15.75">
      <c r="A20" s="42"/>
      <c r="B20" s="6" t="s">
        <v>19</v>
      </c>
      <c r="C20" s="3">
        <f>(1+IMABS(z_p1)^2)/ABS(1-ρ_1^2*IMABS(z_p1)^2)*ρ_1</f>
        <v>0.7535555488960046</v>
      </c>
      <c r="K20" s="9"/>
    </row>
    <row r="21" spans="1:11" ht="15.75">
      <c r="A21" s="42"/>
      <c r="B21" s="6" t="s">
        <v>20</v>
      </c>
      <c r="C21" t="str">
        <f>IMPRODUCT((1+ρ_2^2)/(1-ρ_2^2*IMABS(z_p2)^2),z_p2)</f>
        <v>0.406330463157132-1.51599016736917i</v>
      </c>
      <c r="K21" s="9"/>
    </row>
    <row r="22" spans="1:11" ht="15.75">
      <c r="A22" s="42"/>
      <c r="B22" s="6" t="s">
        <v>21</v>
      </c>
      <c r="C22" s="3">
        <f>(1+IMABS(z_p2)^2)/ABS(1-ρ_2^2*IMABS(z_p2)^2)*ρ_2</f>
        <v>1.3167216346136277</v>
      </c>
      <c r="K22" s="9"/>
    </row>
    <row r="23" spans="1:11" ht="5.25" customHeight="1">
      <c r="A23" s="42"/>
      <c r="B23" s="6"/>
      <c r="K23" s="9"/>
    </row>
    <row r="24" spans="1:11" ht="12.75">
      <c r="A24" s="42"/>
      <c r="B24" s="6" t="s">
        <v>8</v>
      </c>
      <c r="C24" s="3">
        <f>IMABS(IMSUB(z_c1,z_c2))</f>
        <v>1.4121823896973023</v>
      </c>
      <c r="K24" s="9"/>
    </row>
    <row r="25" spans="1:11" ht="12.75">
      <c r="A25" s="42"/>
      <c r="B25" s="6" t="s">
        <v>9</v>
      </c>
      <c r="C25" s="3">
        <f>(r_1^2-r_2^2)/(2*d^2)</f>
        <v>-0.2923165542411546</v>
      </c>
      <c r="K25" s="9"/>
    </row>
    <row r="26" spans="1:11" ht="12.75">
      <c r="A26" s="42"/>
      <c r="B26" s="6" t="s">
        <v>10</v>
      </c>
      <c r="C26" s="3">
        <f>SQRT(4*r_1^2*d^2-(d^2+r_1^2-r_2^2)^2)/(2*d^2)</f>
        <v>0.4915362667996905</v>
      </c>
      <c r="E26">
        <f>IF(ISERR(ν),"Circles do not intersect","")</f>
      </c>
      <c r="K26" s="9"/>
    </row>
    <row r="27" spans="1:11" ht="12.75">
      <c r="A27" s="42"/>
      <c r="B27" s="6"/>
      <c r="K27" s="9"/>
    </row>
    <row r="28" spans="1:11" ht="12.75">
      <c r="A28" s="42"/>
      <c r="B28" s="6" t="s">
        <v>11</v>
      </c>
      <c r="C28" t="str">
        <f>IMSUM(IMDIV(IMSUM(z_c1,z_c2),2),IMPRODUCT(COMPLEX(μ,ν),IMSUB(z_c2,z_c1)))</f>
        <v>1.57483079116482-0.909061138152821i</v>
      </c>
      <c r="K28" s="9"/>
    </row>
    <row r="29" spans="1:11" ht="12.75">
      <c r="A29" s="42"/>
      <c r="B29" s="6"/>
      <c r="C29" t="str">
        <f>IMSUM(IMDIV(IMSUM(z_c1,z_c2),2),IMPRODUCT(COMPLEX(μ,-ν),IMSUB(z_c2,z_c1)))</f>
        <v>0.381583292836668-0.199501109070274i</v>
      </c>
      <c r="K29" s="9"/>
    </row>
    <row r="30" spans="1:12" ht="5.25" customHeight="1" thickBot="1">
      <c r="A30" s="34"/>
      <c r="B30" s="13"/>
      <c r="C30" s="11"/>
      <c r="D30" s="11"/>
      <c r="E30" s="11"/>
      <c r="F30" s="11"/>
      <c r="G30" s="11"/>
      <c r="H30" s="11"/>
      <c r="I30" s="11"/>
      <c r="J30" s="11"/>
      <c r="K30" s="12"/>
      <c r="L30" s="11"/>
    </row>
    <row r="31" spans="1:11" ht="12.75">
      <c r="A31" s="32"/>
      <c r="B31" s="6"/>
      <c r="K31" s="9"/>
    </row>
    <row r="32" spans="1:12" ht="12.75">
      <c r="A32" s="42" t="s">
        <v>45</v>
      </c>
      <c r="B32" s="7" t="s">
        <v>22</v>
      </c>
      <c r="C32" s="8" t="str">
        <f>IF(K32&lt;0,"-","")&amp;TEXT(DEGREES(ABS(K32))/24,"[h]º mm' ss\""")</f>
        <v>32º 23' 01"</v>
      </c>
      <c r="K32" s="9">
        <f>2*ATAN(IMABS(C28))-PI()/2</f>
        <v>0.5651991861769257</v>
      </c>
      <c r="L32" t="s">
        <v>24</v>
      </c>
    </row>
    <row r="33" spans="1:12" ht="12.75">
      <c r="A33" s="42"/>
      <c r="B33" t="s">
        <v>23</v>
      </c>
      <c r="C33" s="8" t="str">
        <f>IF(K33&lt;0,"-","")&amp;TEXT(DEGREES(ABS(K33))/24,"[h]º mm' ss\""")</f>
        <v>-29º 59' 44"</v>
      </c>
      <c r="K33" s="9">
        <f>IMARGUMENT(C28)</f>
        <v>-0.5235188380577853</v>
      </c>
      <c r="L33" t="s">
        <v>24</v>
      </c>
    </row>
    <row r="34" spans="1:11" ht="5.25" customHeight="1">
      <c r="A34" s="42"/>
      <c r="B34" s="6"/>
      <c r="K34" s="9"/>
    </row>
    <row r="35" spans="1:12" ht="12.75">
      <c r="A35" s="42"/>
      <c r="B35" s="7" t="s">
        <v>22</v>
      </c>
      <c r="C35" s="8" t="str">
        <f>IF(K35&lt;0,"-","")&amp;TEXT(DEGREES(ABS(K35))/24,"[h]º mm' ss\""")</f>
        <v>-43º 24' 28"</v>
      </c>
      <c r="K35" s="9">
        <f>2*ATAN(IMABS(C29))-PI()/2</f>
        <v>-0.7576070003083601</v>
      </c>
      <c r="L35" t="s">
        <v>24</v>
      </c>
    </row>
    <row r="36" spans="1:12" ht="12.75">
      <c r="A36" s="42"/>
      <c r="B36" t="s">
        <v>23</v>
      </c>
      <c r="C36" s="8" t="str">
        <f>IF(K36&lt;0,"-","")&amp;TEXT(DEGREES(ABS(K36))/24,"[h]º mm' ss\""")</f>
        <v>-27º 36' 06"</v>
      </c>
      <c r="K36" s="9">
        <f>IMARGUMENT(C29)</f>
        <v>-0.48174006680088566</v>
      </c>
      <c r="L36" t="s">
        <v>24</v>
      </c>
    </row>
    <row r="37" spans="1:12" ht="13.5" thickBot="1">
      <c r="A37" s="34"/>
      <c r="B37" s="13"/>
      <c r="C37" s="11"/>
      <c r="D37" s="11"/>
      <c r="E37" s="11"/>
      <c r="F37" s="11"/>
      <c r="G37" s="11"/>
      <c r="H37" s="11"/>
      <c r="I37" s="11"/>
      <c r="J37" s="11"/>
      <c r="K37" s="11"/>
      <c r="L37" s="11"/>
    </row>
    <row r="38" ht="12.75">
      <c r="B38" s="6"/>
    </row>
    <row r="39" ht="12.75">
      <c r="B39" s="6"/>
    </row>
  </sheetData>
  <mergeCells count="3">
    <mergeCell ref="A3:A9"/>
    <mergeCell ref="A14:A29"/>
    <mergeCell ref="A32:A36"/>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L22"/>
  <sheetViews>
    <sheetView workbookViewId="0" topLeftCell="A1">
      <selection activeCell="N6" sqref="N6"/>
    </sheetView>
  </sheetViews>
  <sheetFormatPr defaultColWidth="9.140625" defaultRowHeight="12.75"/>
  <cols>
    <col min="1" max="1" width="4.140625" style="0" bestFit="1" customWidth="1"/>
    <col min="2" max="2" width="19.421875" style="0" bestFit="1" customWidth="1"/>
    <col min="3" max="3" width="9.57421875" style="0" customWidth="1"/>
    <col min="4" max="4" width="1.7109375" style="0" bestFit="1" customWidth="1"/>
    <col min="5" max="5" width="4.57421875" style="0" bestFit="1" customWidth="1"/>
    <col min="6" max="6" width="1.28515625" style="0" bestFit="1" customWidth="1"/>
    <col min="7" max="7" width="3.00390625" style="0" bestFit="1" customWidth="1"/>
    <col min="11" max="11" width="11.28125" style="9" customWidth="1"/>
  </cols>
  <sheetData>
    <row r="1" spans="1:2" ht="15.75">
      <c r="A1" s="29"/>
      <c r="B1" s="25" t="s">
        <v>56</v>
      </c>
    </row>
    <row r="2" ht="3.75" customHeight="1">
      <c r="A2" s="29"/>
    </row>
    <row r="3" spans="1:2" ht="12.75" customHeight="1">
      <c r="A3" s="43" t="s">
        <v>43</v>
      </c>
      <c r="B3" s="10" t="s">
        <v>26</v>
      </c>
    </row>
    <row r="4" spans="1:12" ht="12.75">
      <c r="A4" s="43"/>
      <c r="B4" s="7" t="s">
        <v>22</v>
      </c>
      <c r="C4" s="7">
        <v>35</v>
      </c>
      <c r="D4" t="s">
        <v>5</v>
      </c>
      <c r="E4" s="28">
        <v>30</v>
      </c>
      <c r="F4" s="1" t="s">
        <v>3</v>
      </c>
      <c r="K4" s="9">
        <f>RADIANS(IF(OR(C4&lt;0,E4&lt;0),-1,1)*(ABS(C4)+ABS(E4)/60))</f>
        <v>0.619591884457987</v>
      </c>
      <c r="L4" t="s">
        <v>24</v>
      </c>
    </row>
    <row r="5" spans="1:12" ht="12.75">
      <c r="A5" s="43"/>
      <c r="B5" t="s">
        <v>23</v>
      </c>
      <c r="C5">
        <v>-9</v>
      </c>
      <c r="D5" t="s">
        <v>5</v>
      </c>
      <c r="E5" s="28">
        <v>30</v>
      </c>
      <c r="F5" s="1" t="s">
        <v>3</v>
      </c>
      <c r="K5" s="9">
        <f>RADIANS(IF(OR(C5&lt;0,E5&lt;0),-1,1)*(ABS(C5)+ABS(E5)/60))</f>
        <v>-0.16580627893946132</v>
      </c>
      <c r="L5" t="s">
        <v>24</v>
      </c>
    </row>
    <row r="6" spans="1:6" ht="12.75">
      <c r="A6" s="43"/>
      <c r="E6" s="5"/>
      <c r="F6" s="1"/>
    </row>
    <row r="7" spans="1:2" ht="12.75">
      <c r="A7" s="43"/>
      <c r="B7" s="10" t="s">
        <v>50</v>
      </c>
    </row>
    <row r="8" spans="1:12" ht="12.75">
      <c r="A8" s="43"/>
      <c r="B8" t="s">
        <v>25</v>
      </c>
      <c r="C8" s="4">
        <v>62</v>
      </c>
      <c r="D8" t="s">
        <v>5</v>
      </c>
      <c r="E8" s="26">
        <v>16</v>
      </c>
      <c r="F8" s="1" t="s">
        <v>3</v>
      </c>
      <c r="G8" s="26">
        <v>0</v>
      </c>
      <c r="H8" s="1" t="s">
        <v>4</v>
      </c>
      <c r="K8" s="9">
        <f>RADIANS(IF(OR(C8&lt;0,E8&lt;0,G8&lt;0),-1,1)*(ABS(C8)+ABS(E8)/60+ABS(G8)/3600))</f>
        <v>1.086758347575136</v>
      </c>
      <c r="L8" t="s">
        <v>24</v>
      </c>
    </row>
    <row r="9" spans="1:12" ht="12.75">
      <c r="A9" s="43"/>
      <c r="B9" s="7" t="s">
        <v>27</v>
      </c>
      <c r="C9" s="4">
        <v>38</v>
      </c>
      <c r="D9" t="s">
        <v>5</v>
      </c>
      <c r="E9" s="26">
        <v>40</v>
      </c>
      <c r="F9" s="1" t="s">
        <v>3</v>
      </c>
      <c r="G9" s="26">
        <v>13</v>
      </c>
      <c r="H9" s="1" t="s">
        <v>4</v>
      </c>
      <c r="K9" s="9">
        <f>RADIANS(IF(OR(C9&lt;0,E9&lt;0,G9&lt;0),-1,1)*(ABS(C9)+ABS(E9)/60+ABS(G9)/3600))</f>
        <v>0.6749236698830183</v>
      </c>
      <c r="L9" t="s">
        <v>24</v>
      </c>
    </row>
    <row r="10" spans="1:12" ht="6.75" customHeight="1" thickBot="1">
      <c r="A10" s="30"/>
      <c r="B10" s="19"/>
      <c r="C10" s="14"/>
      <c r="D10" s="11"/>
      <c r="E10" s="14"/>
      <c r="F10" s="15"/>
      <c r="G10" s="14"/>
      <c r="H10" s="15"/>
      <c r="I10" s="11"/>
      <c r="J10" s="11"/>
      <c r="K10" s="12"/>
      <c r="L10" s="11"/>
    </row>
    <row r="11" ht="5.25" customHeight="1">
      <c r="A11" s="29"/>
    </row>
    <row r="12" spans="1:3" ht="15.75" customHeight="1">
      <c r="A12" s="43" t="s">
        <v>44</v>
      </c>
      <c r="B12" s="6" t="s">
        <v>28</v>
      </c>
      <c r="C12" t="str">
        <f>IMEXP(COMPLEX(0,-λ/2))</f>
        <v>0.996565502497761+8.28082075122044E-002i</v>
      </c>
    </row>
    <row r="13" spans="1:3" ht="15.75" customHeight="1">
      <c r="A13" s="43"/>
      <c r="B13" s="6" t="s">
        <v>29</v>
      </c>
      <c r="C13" t="str">
        <f>IMPRODUCT(-TAN(PI()/4+L/2),IMEXP(COMPLEX(0,λ/2)))</f>
        <v>-1.93495149010083+0.160782070136608i</v>
      </c>
    </row>
    <row r="14" ht="15.75" customHeight="1">
      <c r="A14" s="43"/>
    </row>
    <row r="15" spans="1:3" ht="15.75" customHeight="1">
      <c r="A15" s="43"/>
      <c r="B15" s="6" t="s">
        <v>11</v>
      </c>
      <c r="C15" t="str">
        <f>IMPRODUCT(TAN(PI()/4+δ/2),IMEXP(COMPLEX(0,-GHA)))</f>
        <v>0.968460094085827-1.84204002255684i</v>
      </c>
    </row>
    <row r="16" ht="15.75" customHeight="1">
      <c r="A16" s="43"/>
    </row>
    <row r="17" spans="1:3" ht="15.75" customHeight="1">
      <c r="A17" s="43"/>
      <c r="B17" s="6" t="s">
        <v>30</v>
      </c>
      <c r="C17" t="str">
        <f>IMDIV(IMSUM(IMPRODUCT(a,z),b),IMSUM(IMPRODUCT(-1,IMCONJUGATE(b),z),IMCONJUGATE(a)))</f>
        <v>0.134118058699435-0.35573213541146i</v>
      </c>
    </row>
    <row r="18" spans="1:12" ht="5.25" customHeight="1" thickBot="1">
      <c r="A18" s="30"/>
      <c r="B18" s="13"/>
      <c r="C18" s="11"/>
      <c r="D18" s="11"/>
      <c r="E18" s="11"/>
      <c r="F18" s="11"/>
      <c r="G18" s="11"/>
      <c r="H18" s="11"/>
      <c r="I18" s="11"/>
      <c r="J18" s="11"/>
      <c r="K18" s="12"/>
      <c r="L18" s="11"/>
    </row>
    <row r="19" spans="1:12" ht="12.75" customHeight="1">
      <c r="A19" s="44" t="s">
        <v>45</v>
      </c>
      <c r="B19" s="20"/>
      <c r="C19" s="21"/>
      <c r="D19" s="21"/>
      <c r="E19" s="21"/>
      <c r="F19" s="21"/>
      <c r="G19" s="21"/>
      <c r="H19" s="21"/>
      <c r="I19" s="21"/>
      <c r="J19" s="21"/>
      <c r="K19" s="22"/>
      <c r="L19" s="21"/>
    </row>
    <row r="20" spans="1:12" ht="15.75" customHeight="1">
      <c r="A20" s="45"/>
      <c r="B20" s="23" t="s">
        <v>31</v>
      </c>
      <c r="C20" s="24" t="str">
        <f>TEXT(DEGREES(K20)/24,"[h]º mm' ss\""")</f>
        <v>48º 22' 08"</v>
      </c>
      <c r="D20" s="16"/>
      <c r="E20" s="16"/>
      <c r="F20" s="16"/>
      <c r="G20" s="16"/>
      <c r="H20" s="16"/>
      <c r="I20" s="16"/>
      <c r="J20" s="16"/>
      <c r="K20" s="18">
        <f>PI()/2-2*ATAN(IMABS(w))</f>
        <v>0.8441965445313138</v>
      </c>
      <c r="L20" s="16" t="s">
        <v>24</v>
      </c>
    </row>
    <row r="21" spans="1:12" ht="15.75" customHeight="1">
      <c r="A21" s="45"/>
      <c r="B21" s="23" t="s">
        <v>32</v>
      </c>
      <c r="C21" s="24" t="str">
        <f>TEXT(INT(DEGREES(K21)),"#º")&amp;TEXT(60*(DEGREES(K21)-INT(DEGREES(K21)))," #.0'")</f>
        <v>290º 39.4'</v>
      </c>
      <c r="D21" s="16"/>
      <c r="E21" s="16"/>
      <c r="F21" s="16"/>
      <c r="G21" s="16"/>
      <c r="H21" s="16"/>
      <c r="I21" s="16"/>
      <c r="J21" s="16"/>
      <c r="K21" s="18">
        <f>MOD(IMARGUMENT(w),2*PI())</f>
        <v>5.072929257648786</v>
      </c>
      <c r="L21" s="16" t="s">
        <v>24</v>
      </c>
    </row>
    <row r="22" spans="1:12" ht="15.75" customHeight="1" thickBot="1">
      <c r="A22" s="46"/>
      <c r="B22" s="13"/>
      <c r="C22" s="11"/>
      <c r="D22" s="11"/>
      <c r="E22" s="11"/>
      <c r="F22" s="11"/>
      <c r="G22" s="11"/>
      <c r="H22" s="11"/>
      <c r="I22" s="11"/>
      <c r="J22" s="11"/>
      <c r="K22" s="12"/>
      <c r="L22" s="11"/>
    </row>
  </sheetData>
  <mergeCells count="3">
    <mergeCell ref="A12:A17"/>
    <mergeCell ref="A3:A9"/>
    <mergeCell ref="A19:A22"/>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L26"/>
  <sheetViews>
    <sheetView workbookViewId="0" topLeftCell="A1">
      <selection activeCell="G41" sqref="G41"/>
    </sheetView>
  </sheetViews>
  <sheetFormatPr defaultColWidth="9.140625" defaultRowHeight="12.75"/>
  <cols>
    <col min="1" max="1" width="4.140625" style="0" bestFit="1" customWidth="1"/>
    <col min="2" max="2" width="25.8515625" style="0" bestFit="1" customWidth="1"/>
    <col min="3" max="3" width="11.8515625" style="0" customWidth="1"/>
    <col min="4" max="4" width="1.7109375" style="0" bestFit="1" customWidth="1"/>
    <col min="5" max="5" width="3.00390625" style="0" bestFit="1" customWidth="1"/>
    <col min="6" max="6" width="2.140625" style="0" bestFit="1" customWidth="1"/>
    <col min="7" max="7" width="3.00390625" style="4" bestFit="1" customWidth="1"/>
    <col min="8" max="8" width="1.7109375" style="0" bestFit="1" customWidth="1"/>
    <col min="11" max="11" width="10.57421875" style="9" bestFit="1" customWidth="1"/>
  </cols>
  <sheetData>
    <row r="1" spans="1:2" ht="15.75">
      <c r="A1" s="29"/>
      <c r="B1" s="25" t="s">
        <v>52</v>
      </c>
    </row>
    <row r="2" ht="6.75" customHeight="1">
      <c r="A2" s="29"/>
    </row>
    <row r="3" spans="1:12" ht="12.75">
      <c r="A3" s="43" t="s">
        <v>43</v>
      </c>
      <c r="B3" t="s">
        <v>33</v>
      </c>
      <c r="C3" s="4">
        <v>103</v>
      </c>
      <c r="D3" t="s">
        <v>5</v>
      </c>
      <c r="E3" s="26">
        <v>26</v>
      </c>
      <c r="F3" s="1" t="s">
        <v>3</v>
      </c>
      <c r="G3" s="26">
        <v>24</v>
      </c>
      <c r="H3" s="1" t="s">
        <v>4</v>
      </c>
      <c r="K3" s="9">
        <f>RADIANS(C3+E3/60+G3/3600)</f>
        <v>1.8053685782629345</v>
      </c>
      <c r="L3" t="s">
        <v>24</v>
      </c>
    </row>
    <row r="4" spans="1:12" ht="15.75">
      <c r="A4" s="43"/>
      <c r="B4" t="s">
        <v>34</v>
      </c>
      <c r="C4" s="4">
        <v>35</v>
      </c>
      <c r="D4" t="s">
        <v>5</v>
      </c>
      <c r="E4" s="26">
        <v>37</v>
      </c>
      <c r="F4" s="1" t="s">
        <v>3</v>
      </c>
      <c r="G4" s="26">
        <v>28</v>
      </c>
      <c r="H4" s="1" t="s">
        <v>4</v>
      </c>
      <c r="K4" s="9">
        <f>RADIANS(C4+E4/60+G4/3600)</f>
        <v>0.6217638497493577</v>
      </c>
      <c r="L4" t="s">
        <v>24</v>
      </c>
    </row>
    <row r="5" spans="1:12" ht="15.75">
      <c r="A5" s="43"/>
      <c r="B5" t="s">
        <v>35</v>
      </c>
      <c r="C5" s="4">
        <v>40</v>
      </c>
      <c r="D5" t="s">
        <v>5</v>
      </c>
      <c r="E5" s="26">
        <v>17</v>
      </c>
      <c r="F5" s="1" t="s">
        <v>3</v>
      </c>
      <c r="G5" s="26">
        <v>24</v>
      </c>
      <c r="H5" s="1" t="s">
        <v>4</v>
      </c>
      <c r="K5" s="9">
        <f>RADIANS(C5+E5/60+G5/3600)</f>
        <v>0.7031931556285154</v>
      </c>
      <c r="L5" t="s">
        <v>24</v>
      </c>
    </row>
    <row r="6" spans="1:5" ht="12.75">
      <c r="A6" s="43"/>
      <c r="C6" s="4"/>
      <c r="E6" s="4"/>
    </row>
    <row r="7" spans="1:12" ht="15.75">
      <c r="A7" s="43"/>
      <c r="B7" t="s">
        <v>48</v>
      </c>
      <c r="C7" s="4">
        <v>36</v>
      </c>
      <c r="D7" t="s">
        <v>5</v>
      </c>
      <c r="E7" s="26">
        <v>26</v>
      </c>
      <c r="F7" s="1" t="s">
        <v>3</v>
      </c>
      <c r="G7" s="26">
        <v>1</v>
      </c>
      <c r="H7" s="1" t="s">
        <v>4</v>
      </c>
      <c r="K7" s="9">
        <f>RADIANS(C7+E7/60+G7/3600)</f>
        <v>0.6358864722800784</v>
      </c>
      <c r="L7" t="s">
        <v>24</v>
      </c>
    </row>
    <row r="8" spans="1:12" ht="15.75">
      <c r="A8" s="43"/>
      <c r="B8" t="s">
        <v>49</v>
      </c>
      <c r="C8" s="4">
        <v>40</v>
      </c>
      <c r="D8" t="s">
        <v>5</v>
      </c>
      <c r="E8" s="26">
        <v>16</v>
      </c>
      <c r="F8" s="1" t="s">
        <v>3</v>
      </c>
      <c r="G8" s="26">
        <v>15</v>
      </c>
      <c r="H8" s="1" t="s">
        <v>4</v>
      </c>
      <c r="K8" s="9">
        <f>RADIANS(C8+E8/60+G8/3600)</f>
        <v>0.7028586341885499</v>
      </c>
      <c r="L8" t="s">
        <v>24</v>
      </c>
    </row>
    <row r="9" spans="1:12" ht="13.5" thickBot="1">
      <c r="A9" s="30"/>
      <c r="B9" s="11"/>
      <c r="C9" s="14"/>
      <c r="D9" s="11"/>
      <c r="E9" s="14"/>
      <c r="F9" s="15"/>
      <c r="G9" s="14"/>
      <c r="H9" s="15"/>
      <c r="I9" s="11"/>
      <c r="J9" s="11"/>
      <c r="K9" s="12"/>
      <c r="L9" s="11"/>
    </row>
    <row r="10" ht="12.75">
      <c r="A10" s="29"/>
    </row>
    <row r="11" spans="1:3" ht="15.75">
      <c r="A11" s="43" t="s">
        <v>44</v>
      </c>
      <c r="B11" s="6" t="s">
        <v>36</v>
      </c>
      <c r="C11" s="3">
        <f>TAN(PI()/4-h_M/2)</f>
        <v>0.5136605605869013</v>
      </c>
    </row>
    <row r="12" spans="1:3" ht="15.75">
      <c r="A12" s="43"/>
      <c r="B12" s="6" t="s">
        <v>37</v>
      </c>
      <c r="C12" s="3">
        <f>TAN(PI()/4-h_S/2)</f>
        <v>0.4632302672549814</v>
      </c>
    </row>
    <row r="13" spans="1:3" ht="12.75">
      <c r="A13" s="43"/>
      <c r="B13" s="6"/>
      <c r="C13" s="3"/>
    </row>
    <row r="14" spans="1:3" ht="14.25">
      <c r="A14" s="43"/>
      <c r="B14" s="6" t="s">
        <v>39</v>
      </c>
      <c r="C14" s="3">
        <f>TAN(d_l/2)^2</f>
        <v>1.6056152687952994</v>
      </c>
    </row>
    <row r="15" spans="1:3" ht="12.75">
      <c r="A15" s="43"/>
      <c r="B15" s="6" t="s">
        <v>38</v>
      </c>
      <c r="C15" s="3">
        <f>(z_1^2+z_2^2-(1+z_1^2*z_2^2)*tan2d2)/(2*z_1*z_2*(1+tan2d2))</f>
        <v>-0.982349966193402</v>
      </c>
    </row>
    <row r="16" spans="1:3" ht="12.75">
      <c r="A16" s="43"/>
      <c r="C16" s="3"/>
    </row>
    <row r="17" spans="1:7" ht="15.75">
      <c r="A17" s="43"/>
      <c r="B17" s="6" t="s">
        <v>40</v>
      </c>
      <c r="C17" s="3">
        <f>TAN(PI()/4-hp_M/2)</f>
        <v>0.504768247979221</v>
      </c>
      <c r="F17" s="4"/>
      <c r="G17"/>
    </row>
    <row r="18" spans="1:7" ht="15.75">
      <c r="A18" s="43"/>
      <c r="B18" s="6" t="s">
        <v>41</v>
      </c>
      <c r="C18" s="3">
        <f>TAN(PI()/4-hp_S/2)</f>
        <v>0.4634334349050667</v>
      </c>
      <c r="F18" s="4"/>
      <c r="G18"/>
    </row>
    <row r="19" ht="12.75">
      <c r="A19" s="43"/>
    </row>
    <row r="20" spans="1:3" ht="14.25">
      <c r="A20" s="43"/>
      <c r="B20" s="6" t="s">
        <v>42</v>
      </c>
      <c r="C20" s="3">
        <f>(zp_1^2+zp_2^2-2*zp_1*zp_2*cosθ)/(1+zp_1^2*zp_2^2+2*zp_1*zp_2*cosθ)</f>
        <v>1.5612769082699252</v>
      </c>
    </row>
    <row r="21" spans="1:12" ht="13.5" thickBot="1">
      <c r="A21" s="30"/>
      <c r="B21" s="11"/>
      <c r="C21" s="11"/>
      <c r="D21" s="11"/>
      <c r="E21" s="11"/>
      <c r="F21" s="11"/>
      <c r="G21" s="14"/>
      <c r="H21" s="11"/>
      <c r="I21" s="11"/>
      <c r="J21" s="11"/>
      <c r="K21" s="12"/>
      <c r="L21" s="11"/>
    </row>
    <row r="22" spans="1:12" ht="12.75">
      <c r="A22" s="44" t="s">
        <v>45</v>
      </c>
      <c r="B22" s="16"/>
      <c r="C22" s="16"/>
      <c r="D22" s="16"/>
      <c r="E22" s="16"/>
      <c r="F22" s="16"/>
      <c r="G22" s="17"/>
      <c r="H22" s="16"/>
      <c r="I22" s="16"/>
      <c r="J22" s="16"/>
      <c r="K22" s="18"/>
      <c r="L22" s="16"/>
    </row>
    <row r="23" ht="12.75" customHeight="1">
      <c r="A23" s="45"/>
    </row>
    <row r="24" spans="1:12" ht="12.75">
      <c r="A24" s="45"/>
      <c r="B24" s="7" t="s">
        <v>51</v>
      </c>
      <c r="C24" t="str">
        <f>TEXT(DEGREES(K24)/24,"[h]º mm' ss.0\""")</f>
        <v>102º 39' 30.6"</v>
      </c>
      <c r="K24" s="9">
        <f>2*ATAN(SQRT(tan2dp2))</f>
        <v>1.7917287599364216</v>
      </c>
      <c r="L24" t="s">
        <v>24</v>
      </c>
    </row>
    <row r="25" spans="1:2" ht="12.75">
      <c r="A25" s="45"/>
      <c r="B25" s="6"/>
    </row>
    <row r="26" spans="1:12" ht="13.5" thickBot="1">
      <c r="A26" s="46"/>
      <c r="B26" s="11"/>
      <c r="C26" s="11"/>
      <c r="D26" s="11"/>
      <c r="E26" s="11"/>
      <c r="F26" s="11"/>
      <c r="G26" s="14"/>
      <c r="H26" s="11"/>
      <c r="I26" s="11"/>
      <c r="J26" s="11"/>
      <c r="K26" s="12"/>
      <c r="L26" s="11"/>
    </row>
  </sheetData>
  <mergeCells count="3">
    <mergeCell ref="A3:A8"/>
    <mergeCell ref="A11:A20"/>
    <mergeCell ref="A22:A26"/>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L28"/>
  <sheetViews>
    <sheetView workbookViewId="0" topLeftCell="A1">
      <selection activeCell="I31" sqref="I31"/>
    </sheetView>
  </sheetViews>
  <sheetFormatPr defaultColWidth="9.140625" defaultRowHeight="12.75"/>
  <cols>
    <col min="1" max="1" width="4.140625" style="0" bestFit="1" customWidth="1"/>
    <col min="2" max="2" width="23.00390625" style="0" customWidth="1"/>
    <col min="3" max="3" width="9.8515625" style="0" customWidth="1"/>
    <col min="4" max="4" width="1.7109375" style="0" customWidth="1"/>
    <col min="5" max="5" width="3.57421875" style="0" customWidth="1"/>
    <col min="6" max="6" width="2.140625" style="0" bestFit="1" customWidth="1"/>
    <col min="7" max="7" width="5.57421875" style="0" bestFit="1" customWidth="1"/>
    <col min="8" max="8" width="2.00390625" style="0" bestFit="1" customWidth="1"/>
    <col min="11" max="11" width="10.7109375" style="0" customWidth="1"/>
  </cols>
  <sheetData>
    <row r="1" spans="1:2" ht="15.75">
      <c r="A1" s="32"/>
      <c r="B1" s="25" t="s">
        <v>78</v>
      </c>
    </row>
    <row r="2" ht="12.75">
      <c r="A2" s="32"/>
    </row>
    <row r="3" spans="1:2" ht="12.75">
      <c r="A3" s="42" t="s">
        <v>43</v>
      </c>
      <c r="B3" s="10" t="s">
        <v>74</v>
      </c>
    </row>
    <row r="4" spans="1:12" ht="14.25">
      <c r="A4" s="42"/>
      <c r="B4" s="7" t="s">
        <v>79</v>
      </c>
      <c r="C4" s="4">
        <v>1</v>
      </c>
      <c r="D4" s="2" t="str">
        <f>IF($K$24=1,"h","°")</f>
        <v>h</v>
      </c>
      <c r="E4" s="26">
        <v>22</v>
      </c>
      <c r="F4" s="2" t="str">
        <f>IF($K$24=1,"m","'")</f>
        <v>m</v>
      </c>
      <c r="G4" s="27">
        <v>33.7</v>
      </c>
      <c r="H4" s="2" t="str">
        <f>IF($K$24=1,"s","""")</f>
        <v>s</v>
      </c>
      <c r="K4">
        <f>IF($K$24=1,15,1)*IF(OR(C4&lt;0,E4&lt;0,G4&lt;0),-1,1)*RADIANS((ABS(C4)+ABS(E4)/60+ABS(G4)/3600))</f>
        <v>0.3602432298168463</v>
      </c>
      <c r="L4" t="s">
        <v>24</v>
      </c>
    </row>
    <row r="5" spans="1:12" ht="12.75">
      <c r="A5" s="42"/>
      <c r="B5" t="s">
        <v>63</v>
      </c>
      <c r="C5" s="4">
        <v>88</v>
      </c>
      <c r="D5" t="s">
        <v>5</v>
      </c>
      <c r="E5" s="26">
        <v>46</v>
      </c>
      <c r="F5" s="1" t="s">
        <v>3</v>
      </c>
      <c r="G5" s="28">
        <v>26</v>
      </c>
      <c r="H5" s="1" t="s">
        <v>4</v>
      </c>
      <c r="K5" s="9">
        <f>RADIANS(IF(OR(C5&lt;0,E5&lt;0,G5&lt;0),-1,1)*(ABS(C5)+ABS(E5)/60+ABS(G5)/3600))</f>
        <v>1.5493966509107218</v>
      </c>
      <c r="L5" t="s">
        <v>24</v>
      </c>
    </row>
    <row r="6" spans="1:8" ht="12.75">
      <c r="A6" s="42"/>
      <c r="C6" s="4"/>
      <c r="D6" s="39"/>
      <c r="E6" s="4"/>
      <c r="F6" s="39"/>
      <c r="G6" s="4"/>
      <c r="H6" s="39"/>
    </row>
    <row r="7" spans="1:8" ht="12.75">
      <c r="A7" s="42"/>
      <c r="B7" s="41" t="s">
        <v>75</v>
      </c>
      <c r="C7" s="4"/>
      <c r="D7" s="39"/>
      <c r="E7" s="4"/>
      <c r="F7" s="39"/>
      <c r="H7" s="39"/>
    </row>
    <row r="8" spans="1:12" ht="14.25">
      <c r="A8" s="42"/>
      <c r="B8" s="7" t="s">
        <v>79</v>
      </c>
      <c r="C8" s="4">
        <v>4</v>
      </c>
      <c r="D8" s="2" t="str">
        <f>IF($K$26=1,"h","°")</f>
        <v>h</v>
      </c>
      <c r="E8" s="26">
        <v>30</v>
      </c>
      <c r="F8" s="2" t="str">
        <f>IF($K$26=1,"m","'")</f>
        <v>m</v>
      </c>
      <c r="G8" s="27">
        <v>10.9</v>
      </c>
      <c r="H8" s="2" t="str">
        <f>IF($K$26=1,"s","""")</f>
        <v>s</v>
      </c>
      <c r="K8">
        <f>IF($K$26=1,15,1)*IF(OR(C8&lt;0,E8&lt;0,G8&lt;0),-1,1)*RADIANS((ABS(C8)+ABS(E8)/60+ABS(G8)/3600))</f>
        <v>1.1788899154647865</v>
      </c>
      <c r="L8" t="s">
        <v>24</v>
      </c>
    </row>
    <row r="9" spans="1:12" ht="14.25">
      <c r="A9" s="33"/>
      <c r="B9" t="s">
        <v>63</v>
      </c>
      <c r="C9" s="4">
        <v>16</v>
      </c>
      <c r="D9" t="s">
        <v>5</v>
      </c>
      <c r="E9" s="26">
        <v>18</v>
      </c>
      <c r="F9" s="1" t="s">
        <v>3</v>
      </c>
      <c r="G9" s="28">
        <v>30</v>
      </c>
      <c r="H9" s="2" t="str">
        <f>IF($K$24=1,"s","""")</f>
        <v>s</v>
      </c>
      <c r="K9" s="9">
        <f>RADIANS(IF(OR(C9&lt;0,E9&lt;0,G9&lt;0),-1,1)*(ABS(C9)+ABS(E9)/60+ABS(G9)/3600))</f>
        <v>0.2846341121794086</v>
      </c>
      <c r="L9" t="s">
        <v>24</v>
      </c>
    </row>
    <row r="10" spans="1:12" ht="13.5" thickBot="1">
      <c r="A10" s="34"/>
      <c r="B10" s="11"/>
      <c r="C10" s="11"/>
      <c r="D10" s="11"/>
      <c r="E10" s="11"/>
      <c r="F10" s="11"/>
      <c r="G10" s="11"/>
      <c r="H10" s="11"/>
      <c r="I10" s="11"/>
      <c r="J10" s="11"/>
      <c r="K10" s="11"/>
      <c r="L10" s="11"/>
    </row>
    <row r="11" spans="1:12" ht="6.75" customHeight="1">
      <c r="A11" s="47" t="s">
        <v>44</v>
      </c>
      <c r="B11" s="21"/>
      <c r="C11" s="21"/>
      <c r="D11" s="21"/>
      <c r="E11" s="21"/>
      <c r="F11" s="21"/>
      <c r="G11" s="21"/>
      <c r="H11" s="21"/>
      <c r="I11" s="21"/>
      <c r="J11" s="21"/>
      <c r="K11" s="21"/>
      <c r="L11" s="21"/>
    </row>
    <row r="12" spans="1:12" ht="15.75" customHeight="1">
      <c r="A12" s="48"/>
      <c r="B12" s="36" t="s">
        <v>57</v>
      </c>
      <c r="C12" s="16" t="str">
        <f>IMPRODUCT(TAN(PI()/4+K5/2),IMEXP(COMPLEX(0,K4)))</f>
        <v>87.456969404585+32.9433408647948i</v>
      </c>
      <c r="D12" s="16"/>
      <c r="E12" s="16"/>
      <c r="F12" s="16"/>
      <c r="G12" s="16"/>
      <c r="H12" s="16"/>
      <c r="I12" s="16"/>
      <c r="J12" s="16"/>
      <c r="K12" s="16"/>
      <c r="L12" s="16"/>
    </row>
    <row r="13" spans="1:12" ht="15.75">
      <c r="A13" s="48"/>
      <c r="B13" s="36" t="s">
        <v>58</v>
      </c>
      <c r="C13" s="16" t="str">
        <f>IMPRODUCT(TAN(PI()/4+K9/2),IMEXP(COMPLEX(0,K8)))</f>
        <v>0.50971383447846+1.23332226643108i</v>
      </c>
      <c r="D13" s="16"/>
      <c r="E13" s="16"/>
      <c r="F13" s="16"/>
      <c r="G13" s="16"/>
      <c r="H13" s="16"/>
      <c r="I13" s="16"/>
      <c r="J13" s="16"/>
      <c r="K13" s="16"/>
      <c r="L13" s="16"/>
    </row>
    <row r="14" spans="1:12" ht="12.75">
      <c r="A14" s="48"/>
      <c r="B14" s="16"/>
      <c r="C14" s="16"/>
      <c r="D14" s="16"/>
      <c r="E14" s="16"/>
      <c r="F14" s="16"/>
      <c r="G14" s="16"/>
      <c r="H14" s="16"/>
      <c r="I14" s="16"/>
      <c r="J14" s="16"/>
      <c r="K14" s="16"/>
      <c r="L14" s="16"/>
    </row>
    <row r="15" spans="1:12" ht="15.75">
      <c r="A15" s="48"/>
      <c r="B15" s="16" t="s">
        <v>77</v>
      </c>
      <c r="C15" s="16">
        <f>IMABS(IMDIV(IMSUB(C12,C13),IMSUM(IMPRODUCT(IMCONJUGATE(C13),C12),1)))</f>
        <v>0.7380190587718392</v>
      </c>
      <c r="D15" s="16"/>
      <c r="E15" s="16"/>
      <c r="F15" s="16"/>
      <c r="G15" s="16"/>
      <c r="H15" s="16"/>
      <c r="I15" s="16"/>
      <c r="J15" s="16"/>
      <c r="K15" s="16"/>
      <c r="L15" s="16"/>
    </row>
    <row r="16" spans="1:12" ht="12" customHeight="1" thickBot="1">
      <c r="A16" s="49"/>
      <c r="B16" s="11"/>
      <c r="C16" s="11"/>
      <c r="D16" s="11"/>
      <c r="E16" s="11"/>
      <c r="F16" s="11"/>
      <c r="G16" s="11"/>
      <c r="H16" s="11"/>
      <c r="I16" s="11"/>
      <c r="J16" s="11"/>
      <c r="K16" s="11"/>
      <c r="L16" s="11"/>
    </row>
    <row r="17" spans="1:12" ht="6" customHeight="1">
      <c r="A17" s="44" t="s">
        <v>45</v>
      </c>
      <c r="B17" s="21"/>
      <c r="C17" s="21"/>
      <c r="D17" s="21"/>
      <c r="E17" s="21"/>
      <c r="F17" s="21"/>
      <c r="G17" s="21"/>
      <c r="H17" s="21"/>
      <c r="I17" s="21"/>
      <c r="J17" s="21"/>
      <c r="K17" s="21"/>
      <c r="L17" s="21"/>
    </row>
    <row r="18" spans="1:12" ht="12.75" customHeight="1">
      <c r="A18" s="45"/>
      <c r="B18" s="16"/>
      <c r="C18" s="16"/>
      <c r="D18" s="16"/>
      <c r="E18" s="16"/>
      <c r="F18" s="16"/>
      <c r="G18" s="16"/>
      <c r="H18" s="16"/>
      <c r="I18" s="16"/>
      <c r="J18" s="16"/>
      <c r="K18" s="16"/>
      <c r="L18" s="16"/>
    </row>
    <row r="19" spans="1:12" ht="12.75">
      <c r="A19" s="45"/>
      <c r="B19" s="16" t="s">
        <v>80</v>
      </c>
      <c r="C19" s="16" t="str">
        <f>TEXT(DEGREES(K19)/24,"[h]º mm' ss\""")</f>
        <v>72º 51' 22"</v>
      </c>
      <c r="D19" s="16"/>
      <c r="E19" s="16"/>
      <c r="F19" s="16"/>
      <c r="G19" s="16"/>
      <c r="H19" s="16"/>
      <c r="I19" s="16"/>
      <c r="J19" s="16"/>
      <c r="K19" s="16">
        <f>2*ATAN(C15)</f>
        <v>1.2715782156950017</v>
      </c>
      <c r="L19" s="16" t="s">
        <v>24</v>
      </c>
    </row>
    <row r="20" spans="1:12" ht="12.75">
      <c r="A20" s="45"/>
      <c r="B20" s="16"/>
      <c r="C20" s="16"/>
      <c r="D20" s="16"/>
      <c r="E20" s="16"/>
      <c r="F20" s="16"/>
      <c r="G20" s="16"/>
      <c r="H20" s="16"/>
      <c r="I20" s="16"/>
      <c r="J20" s="16"/>
      <c r="K20" s="16"/>
      <c r="L20" s="16"/>
    </row>
    <row r="21" spans="1:12" ht="7.5" customHeight="1" thickBot="1">
      <c r="A21" s="46"/>
      <c r="B21" s="11"/>
      <c r="C21" s="11"/>
      <c r="D21" s="11"/>
      <c r="E21" s="11"/>
      <c r="F21" s="11"/>
      <c r="G21" s="11"/>
      <c r="H21" s="11"/>
      <c r="I21" s="11"/>
      <c r="J21" s="11"/>
      <c r="K21" s="11"/>
      <c r="L21" s="11"/>
    </row>
    <row r="22" spans="1:12" ht="6" customHeight="1">
      <c r="A22" s="44" t="s">
        <v>61</v>
      </c>
      <c r="B22" s="21"/>
      <c r="C22" s="21"/>
      <c r="D22" s="21"/>
      <c r="E22" s="21"/>
      <c r="F22" s="21"/>
      <c r="G22" s="21"/>
      <c r="H22" s="21"/>
      <c r="I22" s="21"/>
      <c r="J22" s="21"/>
      <c r="K22" s="21"/>
      <c r="L22" s="21"/>
    </row>
    <row r="23" spans="1:12" ht="12.75">
      <c r="A23" s="45"/>
      <c r="B23" s="40" t="s">
        <v>62</v>
      </c>
      <c r="C23" s="16"/>
      <c r="D23" s="16"/>
      <c r="E23" s="16"/>
      <c r="F23" s="16"/>
      <c r="G23" s="16"/>
      <c r="H23" s="16"/>
      <c r="I23" s="16"/>
      <c r="J23" s="16"/>
      <c r="K23" s="16"/>
      <c r="L23" s="16"/>
    </row>
    <row r="24" spans="1:12" ht="14.25">
      <c r="A24" s="45"/>
      <c r="B24" s="16" t="s">
        <v>82</v>
      </c>
      <c r="C24" s="16"/>
      <c r="D24" s="16"/>
      <c r="E24" s="16"/>
      <c r="F24" s="16"/>
      <c r="G24" s="16"/>
      <c r="H24" s="16"/>
      <c r="I24" s="16"/>
      <c r="J24" s="16"/>
      <c r="K24" s="16">
        <v>1</v>
      </c>
      <c r="L24" s="16"/>
    </row>
    <row r="25" spans="1:12" ht="5.25" customHeight="1">
      <c r="A25" s="45"/>
      <c r="B25" s="16"/>
      <c r="C25" s="16"/>
      <c r="D25" s="16"/>
      <c r="E25" s="16"/>
      <c r="F25" s="16"/>
      <c r="G25" s="16"/>
      <c r="H25" s="16"/>
      <c r="I25" s="16"/>
      <c r="J25" s="16"/>
      <c r="K25" s="16"/>
      <c r="L25" s="16"/>
    </row>
    <row r="26" spans="1:12" ht="12.75" customHeight="1">
      <c r="A26" s="45"/>
      <c r="B26" s="16" t="s">
        <v>81</v>
      </c>
      <c r="C26" s="16"/>
      <c r="D26" s="16"/>
      <c r="E26" s="16"/>
      <c r="F26" s="16"/>
      <c r="G26" s="16"/>
      <c r="H26" s="16"/>
      <c r="I26" s="16"/>
      <c r="J26" s="16"/>
      <c r="K26" s="16">
        <v>1</v>
      </c>
      <c r="L26" s="16"/>
    </row>
    <row r="27" spans="1:12" ht="12.75">
      <c r="A27" s="45"/>
      <c r="B27" s="16"/>
      <c r="C27" s="16"/>
      <c r="D27" s="16"/>
      <c r="E27" s="16"/>
      <c r="F27" s="16"/>
      <c r="G27" s="16"/>
      <c r="H27" s="16"/>
      <c r="I27" s="16"/>
      <c r="J27" s="16"/>
      <c r="K27" s="16"/>
      <c r="L27" s="16"/>
    </row>
    <row r="28" spans="1:12" ht="5.25" customHeight="1" thickBot="1">
      <c r="A28" s="46"/>
      <c r="B28" s="11"/>
      <c r="C28" s="11"/>
      <c r="D28" s="11"/>
      <c r="E28" s="11"/>
      <c r="F28" s="11"/>
      <c r="G28" s="11"/>
      <c r="H28" s="11"/>
      <c r="I28" s="11"/>
      <c r="J28" s="11"/>
      <c r="K28" s="11"/>
      <c r="L28" s="11"/>
    </row>
  </sheetData>
  <mergeCells count="4">
    <mergeCell ref="A3:A8"/>
    <mergeCell ref="A11:A16"/>
    <mergeCell ref="A17:A21"/>
    <mergeCell ref="A22:A28"/>
  </mergeCells>
  <printOptions/>
  <pageMargins left="0.75" right="0.75" top="1" bottom="1" header="0.5" footer="0.5"/>
  <pageSetup horizontalDpi="600" verticalDpi="600" orientation="portrait" paperSize="9" r:id="rId3"/>
  <drawing r:id="rId2"/>
  <legacyDrawing r:id="rId1"/>
</worksheet>
</file>

<file path=xl/worksheets/sheet6.xml><?xml version="1.0" encoding="utf-8"?>
<worksheet xmlns="http://schemas.openxmlformats.org/spreadsheetml/2006/main" xmlns:r="http://schemas.openxmlformats.org/officeDocument/2006/relationships">
  <dimension ref="A1:L31"/>
  <sheetViews>
    <sheetView workbookViewId="0" topLeftCell="A1">
      <selection activeCell="M43" sqref="M43"/>
    </sheetView>
  </sheetViews>
  <sheetFormatPr defaultColWidth="9.140625" defaultRowHeight="12.75"/>
  <cols>
    <col min="1" max="1" width="4.140625" style="7" bestFit="1" customWidth="1"/>
    <col min="2" max="2" width="23.28125" style="0" customWidth="1"/>
    <col min="3" max="3" width="15.140625" style="0" customWidth="1"/>
    <col min="4" max="4" width="1.7109375" style="0" bestFit="1" customWidth="1"/>
    <col min="5" max="5" width="4.421875" style="0" customWidth="1"/>
    <col min="6" max="6" width="2.140625" style="0" bestFit="1" customWidth="1"/>
    <col min="7" max="7" width="6.00390625" style="0" bestFit="1" customWidth="1"/>
    <col min="8" max="8" width="1.7109375" style="0" bestFit="1" customWidth="1"/>
    <col min="9" max="9" width="10.421875" style="0" customWidth="1"/>
    <col min="10" max="10" width="10.140625" style="0" customWidth="1"/>
    <col min="11" max="11" width="12.140625" style="0" customWidth="1"/>
  </cols>
  <sheetData>
    <row r="1" spans="1:2" ht="15.75">
      <c r="A1" s="32"/>
      <c r="B1" s="25" t="s">
        <v>73</v>
      </c>
    </row>
    <row r="2" ht="12.75">
      <c r="A2" s="32"/>
    </row>
    <row r="3" spans="1:2" ht="12.75" customHeight="1">
      <c r="A3" s="42" t="s">
        <v>43</v>
      </c>
      <c r="B3" s="10" t="s">
        <v>74</v>
      </c>
    </row>
    <row r="4" spans="1:12" ht="15.75">
      <c r="A4" s="42"/>
      <c r="B4" s="7" t="s">
        <v>60</v>
      </c>
      <c r="C4" s="4">
        <v>1</v>
      </c>
      <c r="D4" s="2" t="s">
        <v>0</v>
      </c>
      <c r="E4" s="26">
        <v>24</v>
      </c>
      <c r="F4" s="2" t="s">
        <v>1</v>
      </c>
      <c r="G4" s="27">
        <v>0</v>
      </c>
      <c r="H4" s="2" t="s">
        <v>2</v>
      </c>
      <c r="K4">
        <f>RADIANS(15*(C4+E4/60+G4/3600))</f>
        <v>0.3665191429188092</v>
      </c>
      <c r="L4" t="s">
        <v>24</v>
      </c>
    </row>
    <row r="5" spans="1:12" ht="15.75">
      <c r="A5" s="42"/>
      <c r="B5" t="s">
        <v>66</v>
      </c>
      <c r="C5" s="4">
        <v>88</v>
      </c>
      <c r="D5" t="s">
        <v>5</v>
      </c>
      <c r="E5" s="26">
        <v>48</v>
      </c>
      <c r="F5" s="1" t="s">
        <v>3</v>
      </c>
      <c r="G5" s="28">
        <v>0</v>
      </c>
      <c r="H5" s="1" t="s">
        <v>4</v>
      </c>
      <c r="K5" s="9">
        <f>RADIANS(IF(OR(C5&lt;0,E5&lt;0,G5&lt;0),-1,1)*(ABS(C5)+ABS(E5)/60+ABS(G5)/3600))</f>
        <v>1.5498523757709646</v>
      </c>
      <c r="L5" t="s">
        <v>24</v>
      </c>
    </row>
    <row r="6" spans="1:8" ht="5.25" customHeight="1">
      <c r="A6" s="42"/>
      <c r="C6" s="4"/>
      <c r="E6" s="4"/>
      <c r="F6" s="1"/>
      <c r="G6" s="4"/>
      <c r="H6" s="1"/>
    </row>
    <row r="7" spans="1:5" ht="12.75">
      <c r="A7" s="42"/>
      <c r="B7" s="41" t="s">
        <v>75</v>
      </c>
      <c r="C7" s="4"/>
      <c r="E7" s="4"/>
    </row>
    <row r="8" spans="1:12" ht="15.75">
      <c r="A8" s="42"/>
      <c r="B8" s="7" t="s">
        <v>59</v>
      </c>
      <c r="C8" s="4">
        <v>4</v>
      </c>
      <c r="D8" s="2" t="s">
        <v>0</v>
      </c>
      <c r="E8" s="26">
        <v>30</v>
      </c>
      <c r="F8" s="2" t="s">
        <v>1</v>
      </c>
      <c r="G8" s="27">
        <v>0</v>
      </c>
      <c r="H8" s="2" t="s">
        <v>2</v>
      </c>
      <c r="K8">
        <f>RADIANS(15*(C8+E8/60+G8/3600))</f>
        <v>1.1780972450961724</v>
      </c>
      <c r="L8" t="s">
        <v>24</v>
      </c>
    </row>
    <row r="9" spans="1:12" ht="15.75">
      <c r="A9" s="33"/>
      <c r="B9" t="s">
        <v>67</v>
      </c>
      <c r="C9" s="4">
        <v>16</v>
      </c>
      <c r="D9" t="s">
        <v>5</v>
      </c>
      <c r="E9" s="26">
        <v>19</v>
      </c>
      <c r="F9" s="1" t="s">
        <v>3</v>
      </c>
      <c r="G9" s="28">
        <v>0</v>
      </c>
      <c r="H9" s="1" t="s">
        <v>4</v>
      </c>
      <c r="K9" s="9">
        <f>RADIANS(IF(OR(C9&lt;0,E9&lt;0,G9&lt;0),-1,1)*(ABS(C9)+ABS(E9)/60+ABS(G9)/3600))</f>
        <v>0.2847795562837414</v>
      </c>
      <c r="L9" t="s">
        <v>24</v>
      </c>
    </row>
    <row r="10" spans="1:12" ht="5.25" customHeight="1" thickBot="1">
      <c r="A10" s="34"/>
      <c r="B10" s="11"/>
      <c r="C10" s="11"/>
      <c r="D10" s="11"/>
      <c r="E10" s="11"/>
      <c r="F10" s="11"/>
      <c r="G10" s="11"/>
      <c r="H10" s="11"/>
      <c r="I10" s="11"/>
      <c r="J10" s="11"/>
      <c r="K10" s="11"/>
      <c r="L10" s="11"/>
    </row>
    <row r="11" ht="4.5" customHeight="1">
      <c r="A11" s="32"/>
    </row>
    <row r="12" spans="1:3" ht="15.75">
      <c r="A12" s="42" t="s">
        <v>44</v>
      </c>
      <c r="B12" s="6" t="s">
        <v>68</v>
      </c>
      <c r="C12" t="str">
        <f>IMPRODUCT(TAN(PI()/4+δ1/2),IMEXP(COMPLEX(0,RA_1)))</f>
        <v>89.1471049562414+34.2203674202285i</v>
      </c>
    </row>
    <row r="13" spans="1:3" ht="15.75">
      <c r="A13" s="42"/>
      <c r="B13" s="6" t="s">
        <v>69</v>
      </c>
      <c r="C13" t="str">
        <f>IMPRODUCT(TAN(PI()/4+δ2/2),IMEXP(COMPLEX(0,RA_2)))</f>
        <v>0.510768690672111+1.23310470025615i</v>
      </c>
    </row>
    <row r="14" spans="1:11" ht="12.75">
      <c r="A14" s="42"/>
      <c r="B14" s="6"/>
      <c r="K14" s="7"/>
    </row>
    <row r="15" spans="1:3" ht="15.75">
      <c r="A15" s="42"/>
      <c r="B15" s="7" t="s">
        <v>71</v>
      </c>
      <c r="C15">
        <f>2*IMAGINARY(IMPRODUCT(IMCONJUGATE(C12),C13))</f>
        <v>184.8980437484418</v>
      </c>
    </row>
    <row r="16" spans="1:3" ht="15.75">
      <c r="A16" s="42"/>
      <c r="B16" s="7" t="s">
        <v>70</v>
      </c>
      <c r="C16">
        <f>IMABS(IMPRODUCT(IMSUB(C12,C13),IMSUM(1,IMPRODUCT(IMCONJUGATE(C12),C13))))</f>
        <v>12118.974036308642</v>
      </c>
    </row>
    <row r="17" spans="1:3" ht="15.75">
      <c r="A17" s="42"/>
      <c r="B17" s="7" t="s">
        <v>76</v>
      </c>
      <c r="C17" t="str">
        <f>IMSUB(IMPRODUCT(1-IMABS(C13)^2,IMCONJUGATE(C12)),IMPRODUCT(1-IMABS(C12)^2,IMCONJUGATE(C13)))</f>
        <v>4587.13828236729-11215.7704498881i</v>
      </c>
    </row>
    <row r="18" spans="1:2" ht="12.75">
      <c r="A18" s="42"/>
      <c r="B18" s="7"/>
    </row>
    <row r="19" spans="1:3" ht="15.75">
      <c r="A19" s="42"/>
      <c r="B19" s="6" t="s">
        <v>64</v>
      </c>
      <c r="C19" t="str">
        <f>IMPRODUCT(COMPLEX(0,1),IMDIV(IMSUM(C15,C16),C17))</f>
        <v>-0.939810543931511+0.384373141684945i</v>
      </c>
    </row>
    <row r="20" spans="1:3" ht="15.75">
      <c r="A20" s="42"/>
      <c r="B20" s="6" t="s">
        <v>65</v>
      </c>
      <c r="C20" t="str">
        <f>IMPRODUCT(COMPLEX(0,1),IMDIV(IMSUB(C15,C16),C17))</f>
        <v>0.91156429268045-0.372820706564592i</v>
      </c>
    </row>
    <row r="21" spans="1:12" ht="5.25" customHeight="1" thickBot="1">
      <c r="A21" s="34"/>
      <c r="B21" s="13"/>
      <c r="C21" s="11"/>
      <c r="D21" s="11"/>
      <c r="E21" s="11"/>
      <c r="F21" s="11"/>
      <c r="G21" s="11"/>
      <c r="H21" s="11"/>
      <c r="I21" s="11"/>
      <c r="J21" s="11"/>
      <c r="K21" s="11"/>
      <c r="L21" s="11"/>
    </row>
    <row r="22" spans="1:12" ht="15" customHeight="1">
      <c r="A22" s="35"/>
      <c r="B22" s="37" t="s">
        <v>72</v>
      </c>
      <c r="C22" s="16"/>
      <c r="D22" s="16"/>
      <c r="E22" s="16"/>
      <c r="F22" s="16"/>
      <c r="G22" s="16"/>
      <c r="H22" s="16"/>
      <c r="I22" s="16"/>
      <c r="J22" s="16"/>
      <c r="K22" s="16"/>
      <c r="L22" s="16"/>
    </row>
    <row r="23" spans="1:2" ht="8.25" customHeight="1">
      <c r="A23" s="32"/>
      <c r="B23" s="6"/>
    </row>
    <row r="24" spans="1:12" ht="15.75">
      <c r="A24" s="42" t="s">
        <v>45</v>
      </c>
      <c r="B24" s="7" t="s">
        <v>60</v>
      </c>
      <c r="C24" s="38" t="str">
        <f>TEXT(MOD(DEGREES(K24),360)/360,"[h]\h mm\m ss\s")</f>
        <v>10h 31m 01s</v>
      </c>
      <c r="K24">
        <f>IMARGUMENT(C19)</f>
        <v>2.753360356045826</v>
      </c>
      <c r="L24" t="s">
        <v>24</v>
      </c>
    </row>
    <row r="25" spans="1:12" ht="15.75">
      <c r="A25" s="42"/>
      <c r="B25" t="s">
        <v>66</v>
      </c>
      <c r="C25" s="38" t="str">
        <f>IF(K25&lt;0,"-","")&amp;TEXT(DEGREES(ABS(K25))/24,"[h]º mm' ss\""")</f>
        <v>0º 52' 27"</v>
      </c>
      <c r="K25">
        <f>2*ATAN(IMABS(C19))-PI()/2</f>
        <v>0.015257497636616435</v>
      </c>
      <c r="L25" t="s">
        <v>24</v>
      </c>
    </row>
    <row r="26" spans="1:2" ht="5.25" customHeight="1">
      <c r="A26" s="42"/>
      <c r="B26" s="6"/>
    </row>
    <row r="27" spans="1:12" ht="15.75">
      <c r="A27" s="42"/>
      <c r="B27" s="7" t="s">
        <v>59</v>
      </c>
      <c r="C27" s="38" t="str">
        <f>TEXT(MOD(DEGREES(K27),360)/360,"[h]\h mm\m ss\s")</f>
        <v>22h 31m 01s</v>
      </c>
      <c r="K27">
        <f>IMARGUMENT(C20)</f>
        <v>-0.3882322975439676</v>
      </c>
      <c r="L27" t="s">
        <v>24</v>
      </c>
    </row>
    <row r="28" spans="1:12" ht="15.75">
      <c r="A28" s="42"/>
      <c r="B28" t="s">
        <v>67</v>
      </c>
      <c r="C28" s="38" t="str">
        <f>IF(K28&lt;0,"-","")&amp;TEXT(DEGREES(ABS(K28))/24,"[h]º mm' ss\""")</f>
        <v>-0º 52' 27"</v>
      </c>
      <c r="K28">
        <f>2*ATAN(IMABS(C20))-PI()/2</f>
        <v>-0.015257497636625983</v>
      </c>
      <c r="L28" t="s">
        <v>24</v>
      </c>
    </row>
    <row r="29" spans="1:12" ht="13.5" thickBot="1">
      <c r="A29" s="34"/>
      <c r="B29" s="13"/>
      <c r="C29" s="11"/>
      <c r="D29" s="11"/>
      <c r="E29" s="11"/>
      <c r="F29" s="11"/>
      <c r="G29" s="11"/>
      <c r="H29" s="11"/>
      <c r="I29" s="11"/>
      <c r="J29" s="11"/>
      <c r="K29" s="11"/>
      <c r="L29" s="11"/>
    </row>
    <row r="30" ht="12.75">
      <c r="B30" s="6"/>
    </row>
    <row r="31" ht="12.75">
      <c r="B31" s="6"/>
    </row>
  </sheetData>
  <mergeCells count="3">
    <mergeCell ref="A3:A8"/>
    <mergeCell ref="A12:A20"/>
    <mergeCell ref="A24:A28"/>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Robin Stuart</dc:creator>
  <cp:keywords/>
  <dc:description/>
  <cp:lastModifiedBy>Robin Stuart</cp:lastModifiedBy>
  <cp:lastPrinted>2010-03-25T18:33:01Z</cp:lastPrinted>
  <dcterms:created xsi:type="dcterms:W3CDTF">2009-11-26T21:54:19Z</dcterms:created>
  <dcterms:modified xsi:type="dcterms:W3CDTF">2010-06-03T23:48:11Z</dcterms:modified>
  <cp:category/>
  <cp:version/>
  <cp:contentType/>
  <cp:contentStatus/>
</cp:coreProperties>
</file>