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020" windowWidth="23520" windowHeight="932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<sst xmlns="http://schemas.openxmlformats.org/spreadsheetml/2006/main" count="79" uniqueCount="48">
  <si>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Numbers above are from FER Mar 2011 problem. Answer should be Lat = 11 // 6 S and Long = 138 // 51 W (Bergman)</t>
  </si>
  <si>
    <t>Julian Date formula above has been modified by subtracting 2 centuries so that computer date 6/17/2096 = 6/17/1896</t>
  </si>
  <si>
    <t xml:space="preserve">Clear = </t>
  </si>
  <si>
    <t>Noon Sight:</t>
  </si>
  <si>
    <t>TimeSight:</t>
  </si>
  <si>
    <t>(Below time is set to noon for declination calcuation used in noontime sight - or 1pm if DST in effect)</t>
  </si>
  <si>
    <t>(Below time is set to entered value (or current time if blank) for declination and longitude calculations)</t>
  </si>
  <si>
    <t>(Should be OK with sun N or S - flipping signs of both dec and lat cancels)</t>
  </si>
  <si>
    <t>longitude</t>
  </si>
  <si>
    <t>Longitude</t>
  </si>
  <si>
    <t>Altitude</t>
  </si>
  <si>
    <t>Altitude</t>
  </si>
  <si>
    <t>Latitude</t>
  </si>
  <si>
    <t>Julian Day</t>
  </si>
  <si>
    <t>Julian Century</t>
  </si>
  <si>
    <t>Eccent Earth Orbit</t>
  </si>
  <si>
    <t>Sun Eq of Ctr</t>
  </si>
  <si>
    <t>Sun Rad Vector (AUs)</t>
  </si>
  <si>
    <t>var y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</si>
  <si>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</si>
  <si>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</si>
  <si>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</si>
  <si>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</si>
  <si>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</si>
  <si>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</si>
  <si>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</si>
  <si>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</si>
  <si>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 xml:space="preserve">  </t>
  </si>
  <si>
    <t>Julian Day (Noon)</t>
  </si>
  <si>
    <t>latitude</t>
  </si>
  <si>
    <t>Latitude</t>
  </si>
  <si>
    <t>cos HA</t>
  </si>
  <si>
    <t>App Time</t>
  </si>
  <si>
    <t>Mean Time</t>
  </si>
  <si>
    <t>Zone (-W) / DST</t>
  </si>
  <si>
    <t>Deck H / Sun S,N</t>
  </si>
  <si>
    <t>Date / Time</t>
  </si>
  <si>
    <t>Dec(º) / EOT(')</t>
  </si>
  <si>
    <t>Time</t>
  </si>
  <si>
    <t>dec</t>
  </si>
  <si>
    <t>HA (deg)</t>
  </si>
  <si>
    <t>EOT (day)</t>
  </si>
  <si>
    <t>Lat</t>
  </si>
  <si>
    <t>noon dec</t>
  </si>
  <si>
    <t>Loc Time</t>
  </si>
  <si>
    <t>(The following is taken from NOAA_Solar_Calculations_Day.xls @ www.srrb.noaa.gov/highlights/sunrise)</t>
  </si>
  <si>
    <t>N</t>
  </si>
  <si>
    <t>Note: from FER table Dec = 23.42 deg (23.40 above) and EOT is 0.87 min (0.63 above)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</si>
</sst>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"/>
    <numFmt numFmtId="169" formatCode="[$-409]h:mm:ss\ AM/PM"/>
    <numFmt numFmtId="170" formatCode="h:mm:ss;@"/>
    <numFmt numFmtId="171" formatCode="0.00000"/>
    <numFmt numFmtId="172" formatCode="0.0000"/>
    <numFmt numFmtId="173" formatCode="0.0000000000000"/>
    <numFmt numFmtId="174" formatCode="0.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"/>
    <numFmt numFmtId="187" formatCode="0.0"/>
    <numFmt numFmtId="188" formatCode="0.00000000000"/>
    <numFmt numFmtId="189" formatCode="0.0000000000"/>
    <numFmt numFmtId="190" formatCode="0.000000000"/>
    <numFmt numFmtId="191" formatCode="0.0000000"/>
    <numFmt numFmtId="192" formatCode="0.000000"/>
    <numFmt numFmtId="193" formatCode="0"/>
    <numFmt numFmtId="194" formatCode="m/d/yy"/>
    <numFmt numFmtId="195" formatCode="0.00"/>
    <numFmt numFmtId="196" formatCode="h:mm:ss"/>
    <numFmt numFmtId="197" formatCode="General"/>
    <numFmt numFmtId="198" formatCode="h:mm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Geneva"/>
      <family val="0"/>
    </font>
    <font>
      <sz val="12"/>
      <color indexed="8"/>
      <name val="Arial Bold"/>
      <family val="0"/>
    </font>
    <font>
      <sz val="12"/>
      <color indexed="8"/>
      <name val="Calibri"/>
      <family val="2"/>
    </font>
    <font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0" fillId="0" borderId="0" xfId="0" applyFont="1" applyAlignment="1">
      <alignment/>
    </xf>
    <xf numFmtId="186" fontId="20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21" fillId="24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186" fontId="21" fillId="0" borderId="14" xfId="0" applyNumberFormat="1" applyFont="1" applyFill="1" applyBorder="1" applyAlignment="1">
      <alignment horizontal="center"/>
    </xf>
    <xf numFmtId="1" fontId="21" fillId="25" borderId="14" xfId="0" applyNumberFormat="1" applyFont="1" applyFill="1" applyBorder="1" applyAlignment="1">
      <alignment horizontal="center"/>
    </xf>
    <xf numFmtId="187" fontId="21" fillId="25" borderId="15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87" fontId="21" fillId="0" borderId="16" xfId="0" applyNumberFormat="1" applyFont="1" applyBorder="1" applyAlignment="1">
      <alignment/>
    </xf>
    <xf numFmtId="187" fontId="21" fillId="24" borderId="17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87" fontId="21" fillId="0" borderId="16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21" fontId="21" fillId="0" borderId="14" xfId="0" applyNumberFormat="1" applyFont="1" applyBorder="1" applyAlignment="1">
      <alignment horizontal="center"/>
    </xf>
    <xf numFmtId="171" fontId="21" fillId="0" borderId="14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21" fillId="25" borderId="20" xfId="0" applyNumberFormat="1" applyFont="1" applyFill="1" applyBorder="1" applyAlignment="1">
      <alignment horizontal="center"/>
    </xf>
    <xf numFmtId="187" fontId="21" fillId="25" borderId="21" xfId="0" applyNumberFormat="1" applyFont="1" applyFill="1" applyBorder="1" applyAlignment="1">
      <alignment horizontal="center"/>
    </xf>
    <xf numFmtId="0" fontId="21" fillId="24" borderId="17" xfId="0" applyFont="1" applyFill="1" applyBorder="1" applyAlignment="1" applyProtection="1">
      <alignment horizontal="center"/>
      <protection locked="0"/>
    </xf>
    <xf numFmtId="193" fontId="21" fillId="0" borderId="10" xfId="0" applyNumberFormat="1" applyFont="1" applyBorder="1" applyAlignment="1">
      <alignment horizontal="center" wrapText="1"/>
    </xf>
    <xf numFmtId="193" fontId="21" fillId="0" borderId="14" xfId="0" applyNumberFormat="1" applyFont="1" applyBorder="1" applyAlignment="1">
      <alignment horizontal="center"/>
    </xf>
    <xf numFmtId="193" fontId="21" fillId="0" borderId="12" xfId="0" applyNumberFormat="1" applyFont="1" applyBorder="1" applyAlignment="1">
      <alignment/>
    </xf>
    <xf numFmtId="193" fontId="21" fillId="0" borderId="20" xfId="0" applyNumberFormat="1" applyFont="1" applyBorder="1" applyAlignment="1">
      <alignment horizontal="center"/>
    </xf>
    <xf numFmtId="193" fontId="21" fillId="0" borderId="12" xfId="0" applyNumberFormat="1" applyFont="1" applyBorder="1" applyAlignment="1">
      <alignment horizontal="center"/>
    </xf>
    <xf numFmtId="193" fontId="21" fillId="0" borderId="10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 wrapText="1"/>
    </xf>
    <xf numFmtId="192" fontId="21" fillId="0" borderId="14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/>
    </xf>
    <xf numFmtId="192" fontId="21" fillId="0" borderId="20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 wrapText="1"/>
    </xf>
    <xf numFmtId="171" fontId="21" fillId="0" borderId="14" xfId="0" applyNumberFormat="1" applyFont="1" applyBorder="1" applyAlignment="1">
      <alignment horizontal="center"/>
    </xf>
    <xf numFmtId="171" fontId="21" fillId="0" borderId="12" xfId="0" applyNumberFormat="1" applyFont="1" applyBorder="1" applyAlignment="1">
      <alignment/>
    </xf>
    <xf numFmtId="171" fontId="21" fillId="0" borderId="2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86" fontId="21" fillId="0" borderId="10" xfId="0" applyNumberFormat="1" applyFont="1" applyBorder="1" applyAlignment="1">
      <alignment horizontal="center" wrapText="1"/>
    </xf>
    <xf numFmtId="186" fontId="21" fillId="0" borderId="14" xfId="0" applyNumberFormat="1" applyFont="1" applyBorder="1" applyAlignment="1">
      <alignment horizontal="center"/>
    </xf>
    <xf numFmtId="186" fontId="21" fillId="0" borderId="12" xfId="0" applyNumberFormat="1" applyFont="1" applyBorder="1" applyAlignment="1">
      <alignment/>
    </xf>
    <xf numFmtId="186" fontId="21" fillId="0" borderId="20" xfId="0" applyNumberFormat="1" applyFont="1" applyBorder="1" applyAlignment="1">
      <alignment horizontal="center"/>
    </xf>
    <xf numFmtId="186" fontId="21" fillId="0" borderId="12" xfId="0" applyNumberFormat="1" applyFont="1" applyBorder="1" applyAlignment="1">
      <alignment horizontal="center"/>
    </xf>
    <xf numFmtId="186" fontId="21" fillId="0" borderId="10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 wrapText="1"/>
    </xf>
    <xf numFmtId="192" fontId="21" fillId="0" borderId="14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/>
    </xf>
    <xf numFmtId="192" fontId="21" fillId="0" borderId="20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/>
    </xf>
    <xf numFmtId="171" fontId="21" fillId="0" borderId="12" xfId="0" applyNumberFormat="1" applyFont="1" applyBorder="1" applyAlignment="1">
      <alignment horizontal="center"/>
    </xf>
    <xf numFmtId="186" fontId="21" fillId="0" borderId="14" xfId="0" applyNumberFormat="1" applyFont="1" applyFill="1" applyBorder="1" applyAlignment="1">
      <alignment horizontal="center"/>
    </xf>
    <xf numFmtId="186" fontId="21" fillId="0" borderId="12" xfId="0" applyNumberFormat="1" applyFont="1" applyBorder="1" applyAlignment="1">
      <alignment horizontal="right"/>
    </xf>
    <xf numFmtId="186" fontId="21" fillId="0" borderId="12" xfId="0" applyNumberFormat="1" applyFont="1" applyFill="1" applyBorder="1" applyAlignment="1">
      <alignment horizontal="left"/>
    </xf>
    <xf numFmtId="186" fontId="21" fillId="0" borderId="10" xfId="0" applyNumberFormat="1" applyFont="1" applyFill="1" applyBorder="1" applyAlignment="1">
      <alignment horizontal="center" wrapText="1"/>
    </xf>
    <xf numFmtId="186" fontId="21" fillId="0" borderId="20" xfId="0" applyNumberFormat="1" applyFont="1" applyFill="1" applyBorder="1" applyAlignment="1">
      <alignment horizontal="center"/>
    </xf>
    <xf numFmtId="186" fontId="21" fillId="0" borderId="12" xfId="0" applyNumberFormat="1" applyFont="1" applyFill="1" applyBorder="1" applyAlignment="1">
      <alignment horizontal="center"/>
    </xf>
    <xf numFmtId="186" fontId="21" fillId="0" borderId="10" xfId="0" applyNumberFormat="1" applyFont="1" applyFill="1" applyBorder="1" applyAlignment="1">
      <alignment horizontal="center"/>
    </xf>
    <xf numFmtId="14" fontId="22" fillId="0" borderId="0" xfId="0" applyNumberFormat="1" applyFont="1" applyAlignment="1">
      <alignment/>
    </xf>
    <xf numFmtId="193" fontId="22" fillId="0" borderId="0" xfId="0" applyNumberFormat="1" applyFont="1" applyAlignment="1">
      <alignment/>
    </xf>
    <xf numFmtId="193" fontId="22" fillId="0" borderId="0" xfId="0" applyNumberFormat="1" applyFont="1" applyAlignment="1">
      <alignment/>
    </xf>
    <xf numFmtId="21" fontId="21" fillId="24" borderId="17" xfId="0" applyNumberFormat="1" applyFont="1" applyFill="1" applyBorder="1" applyAlignment="1" applyProtection="1">
      <alignment horizontal="center"/>
      <protection locked="0"/>
    </xf>
    <xf numFmtId="14" fontId="21" fillId="24" borderId="12" xfId="0" applyNumberFormat="1" applyFont="1" applyFill="1" applyBorder="1" applyAlignment="1" applyProtection="1">
      <alignment horizontal="center"/>
      <protection locked="0"/>
    </xf>
    <xf numFmtId="186" fontId="22" fillId="0" borderId="0" xfId="0" applyNumberFormat="1" applyFont="1" applyAlignment="1">
      <alignment/>
    </xf>
    <xf numFmtId="196" fontId="21" fillId="24" borderId="1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21" fontId="21" fillId="0" borderId="0" xfId="0" applyNumberFormat="1" applyFont="1" applyBorder="1" applyAlignment="1">
      <alignment horizontal="center"/>
    </xf>
    <xf numFmtId="171" fontId="21" fillId="0" borderId="0" xfId="0" applyNumberFormat="1" applyFont="1" applyBorder="1" applyAlignment="1">
      <alignment horizontal="center"/>
    </xf>
    <xf numFmtId="186" fontId="21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1" fontId="21" fillId="0" borderId="0" xfId="0" applyNumberFormat="1" applyFont="1" applyFill="1" applyBorder="1" applyAlignment="1">
      <alignment horizontal="center"/>
    </xf>
    <xf numFmtId="187" fontId="21" fillId="0" borderId="0" xfId="0" applyNumberFormat="1" applyFont="1" applyFill="1" applyBorder="1" applyAlignment="1">
      <alignment horizontal="center"/>
    </xf>
    <xf numFmtId="195" fontId="21" fillId="25" borderId="10" xfId="0" applyNumberFormat="1" applyFont="1" applyFill="1" applyBorder="1" applyAlignment="1">
      <alignment horizontal="center"/>
    </xf>
    <xf numFmtId="195" fontId="21" fillId="25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B1">
      <selection activeCell="D16" sqref="D16"/>
    </sheetView>
  </sheetViews>
  <sheetFormatPr defaultColWidth="8.8515625" defaultRowHeight="15"/>
  <cols>
    <col min="1" max="1" width="14.8515625" style="11" customWidth="1"/>
    <col min="2" max="2" width="10.140625" style="7" customWidth="1"/>
    <col min="3" max="16" width="10.28125" style="7" customWidth="1"/>
    <col min="17" max="17" width="9.140625" style="11" customWidth="1"/>
    <col min="18" max="18" width="9.00390625" style="7" customWidth="1"/>
    <col min="19" max="19" width="13.8515625" style="7" customWidth="1"/>
    <col min="20" max="20" width="8.8515625" style="7" customWidth="1"/>
    <col min="21" max="22" width="10.140625" style="7" customWidth="1"/>
    <col min="23" max="16384" width="8.8515625" style="7" customWidth="1"/>
  </cols>
  <sheetData>
    <row r="1" spans="1:19" ht="16.5" customHeight="1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74">
        <v>71758</v>
      </c>
      <c r="R1" s="76">
        <v>0.6186111111111111</v>
      </c>
      <c r="S1" s="1"/>
    </row>
    <row r="2" spans="1:19" ht="16.5" customHeight="1">
      <c r="A2" s="15" t="s">
        <v>34</v>
      </c>
      <c r="B2" s="5"/>
      <c r="C2" s="5"/>
      <c r="D2" s="5" t="s">
        <v>45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>
        <v>-9</v>
      </c>
      <c r="R2" s="73"/>
      <c r="S2" s="1"/>
    </row>
    <row r="3" spans="1:19" ht="16.5" customHeight="1">
      <c r="A3" s="15" t="s">
        <v>35</v>
      </c>
      <c r="B3" s="33" t="s">
        <v>13</v>
      </c>
      <c r="C3" s="39" t="s">
        <v>14</v>
      </c>
      <c r="D3" s="45" t="s">
        <v>19</v>
      </c>
      <c r="E3" s="50" t="s">
        <v>20</v>
      </c>
      <c r="F3" s="56" t="s">
        <v>15</v>
      </c>
      <c r="G3" s="56" t="s">
        <v>16</v>
      </c>
      <c r="H3" s="56" t="s">
        <v>21</v>
      </c>
      <c r="I3" s="50" t="s">
        <v>22</v>
      </c>
      <c r="J3" s="45" t="s">
        <v>17</v>
      </c>
      <c r="K3" s="45" t="s">
        <v>23</v>
      </c>
      <c r="L3" s="45" t="s">
        <v>24</v>
      </c>
      <c r="M3" s="45" t="s">
        <v>25</v>
      </c>
      <c r="N3" s="45" t="s">
        <v>26</v>
      </c>
      <c r="O3" s="50" t="s">
        <v>18</v>
      </c>
      <c r="P3" s="50" t="s">
        <v>39</v>
      </c>
      <c r="Q3" s="4">
        <v>9</v>
      </c>
      <c r="R3" s="32" t="s">
        <v>46</v>
      </c>
      <c r="S3" s="1"/>
    </row>
    <row r="4" spans="1:18" ht="16.5" customHeight="1" thickBot="1">
      <c r="A4" s="14" t="s">
        <v>37</v>
      </c>
      <c r="B4" s="34">
        <f>Q1+2415018.5+R1-Q2/24-73050</f>
        <v>2413727.4936111113</v>
      </c>
      <c r="C4" s="40">
        <f>(B4-2451545)/36525</f>
        <v>-1.0353868963419217</v>
      </c>
      <c r="D4" s="46">
        <f>MOD(280.46646+C4*(36000.76983+C4*0.0003032),360)</f>
        <v>85.74144483470445</v>
      </c>
      <c r="E4" s="51">
        <f>357.52911+C4*(35999.05029-0.0001537*C4)</f>
        <v>-36915.416005790255</v>
      </c>
      <c r="F4" s="57">
        <f>0.016708634-C4*(0.000042037+0.0001537*C4)</f>
        <v>0.01658738815890111</v>
      </c>
      <c r="G4" s="57">
        <f>SIN(RADIANS(E4))*(1.914602-C4*(0.004817+0.000014*C4))+SIN(RADIANS(2*E4))*(0.019993-0.000101*C4)+SIN(RADIANS(3*E4))*0.000289</f>
        <v>0.5001799986612718</v>
      </c>
      <c r="H4" s="57">
        <f>D4+G4</f>
        <v>86.24162483336572</v>
      </c>
      <c r="I4" s="51">
        <f>E4+G4</f>
        <v>-36914.91582579159</v>
      </c>
      <c r="J4" s="46">
        <f>(1.000001018*(1-F4*F4))/(1+F4*COS(RADIANS(I4)))</f>
        <v>1.016010984394243</v>
      </c>
      <c r="K4" s="46">
        <f>H4-0.00569-0.00478*SIN(RADIANS(125.04-1934.136*C4))</f>
        <v>86.23849474201205</v>
      </c>
      <c r="L4" s="46">
        <f>23+(26+((21.448-C4*(46.815+C4*(0.00059-C4*0.001813))))/60)/60</f>
        <v>23.452754720193425</v>
      </c>
      <c r="M4" s="46">
        <f>L4+0.00256*COS(RADIANS(125.04-1934.136*C4))</f>
        <v>23.454916656120723</v>
      </c>
      <c r="N4" s="46">
        <f>DEGREES(ATAN2(COS(RADIANS(M4))*SIN(RADIANS(K4)),COS(RADIANS(K4))))</f>
        <v>4.099190927107607</v>
      </c>
      <c r="O4" s="63">
        <f>TAN(RADIANS(M4/2))*TAN(RADIANS(M4/2))</f>
        <v>0.043093560376307724</v>
      </c>
      <c r="P4" s="63">
        <f>DEGREES(ASIN(SIN(RADIANS(M4))*SIN(RADIANS(K4))))</f>
        <v>23.401374794785593</v>
      </c>
      <c r="Q4" s="87">
        <f>P4</f>
        <v>23.401374794785593</v>
      </c>
      <c r="R4" s="88">
        <f>-(4*DEGREES(O4*SIN(2*RADIANS(D4))-2*F4*SIN(RADIANS(E4))+4*F4*O4*SIN(RADIANS(E4))*COS(2*RADIANS(D4))-0.5*O4*O4*SIN(4*RADIANS(D4))-1.25*F4*F4*SIN(2*RADIANS(E4))))</f>
        <v>0.6279017759315483</v>
      </c>
    </row>
    <row r="5" spans="1:19" ht="16.5" customHeight="1">
      <c r="A5" s="19" t="s">
        <v>3</v>
      </c>
      <c r="B5" s="35"/>
      <c r="C5" s="41"/>
      <c r="D5" s="47" t="s">
        <v>5</v>
      </c>
      <c r="E5" s="52"/>
      <c r="F5" s="58"/>
      <c r="G5" s="58"/>
      <c r="H5" s="58"/>
      <c r="I5" s="52"/>
      <c r="J5" s="47"/>
      <c r="K5" s="47"/>
      <c r="L5" s="47"/>
      <c r="M5" s="47"/>
      <c r="N5" s="47"/>
      <c r="O5" s="64" t="s">
        <v>2</v>
      </c>
      <c r="P5" s="65">
        <f>(16-SQRT(Q3))/60</f>
        <v>0.21666666666666667</v>
      </c>
      <c r="Q5" s="20" t="s">
        <v>27</v>
      </c>
      <c r="R5" s="21"/>
      <c r="S5" s="1"/>
    </row>
    <row r="6" spans="1:19" ht="16.5" customHeight="1">
      <c r="A6" s="15" t="s">
        <v>11</v>
      </c>
      <c r="B6" s="33" t="s">
        <v>28</v>
      </c>
      <c r="C6" s="39" t="s">
        <v>14</v>
      </c>
      <c r="D6" s="45" t="s">
        <v>19</v>
      </c>
      <c r="E6" s="50" t="s">
        <v>20</v>
      </c>
      <c r="F6" s="56" t="s">
        <v>15</v>
      </c>
      <c r="G6" s="56" t="s">
        <v>16</v>
      </c>
      <c r="H6" s="56" t="s">
        <v>21</v>
      </c>
      <c r="I6" s="50" t="s">
        <v>22</v>
      </c>
      <c r="J6" s="45" t="s">
        <v>17</v>
      </c>
      <c r="K6" s="45" t="s">
        <v>23</v>
      </c>
      <c r="L6" s="45" t="s">
        <v>24</v>
      </c>
      <c r="M6" s="45" t="s">
        <v>25</v>
      </c>
      <c r="N6" s="45" t="s">
        <v>26</v>
      </c>
      <c r="O6" s="50" t="s">
        <v>43</v>
      </c>
      <c r="P6" s="66" t="s">
        <v>29</v>
      </c>
      <c r="Q6" s="8">
        <v>55</v>
      </c>
      <c r="R6" s="22">
        <v>17</v>
      </c>
      <c r="S6" s="1"/>
    </row>
    <row r="7" spans="1:19" ht="16.5" customHeight="1" thickBot="1">
      <c r="A7" s="29" t="s">
        <v>30</v>
      </c>
      <c r="B7" s="36">
        <f>IF(LEFT(R2,1)="D",Q1+2415018.5+0.5417-Q2/24,Q1+2415018.5+0.5-Q2/24)-73050</f>
        <v>2413727.375</v>
      </c>
      <c r="C7" s="42">
        <f>(B7-2451545)/36525</f>
        <v>-1.0353901437371664</v>
      </c>
      <c r="D7" s="48">
        <f>MOD(280.46646+C7*(36000.76983+C7*0.0003032),360)</f>
        <v>85.62453610799275</v>
      </c>
      <c r="E7" s="53">
        <f>357.52911+C7*(35999.05029-0.0001537*C7)</f>
        <v>-36915.53290893602</v>
      </c>
      <c r="F7" s="59">
        <f>0.016708634-C7*(0.000042037+0.0001537*C7)</f>
        <v>0.016587387261836</v>
      </c>
      <c r="G7" s="59">
        <f>SIN(RADIANS(E7))*(1.914602-C7*(0.004817+0.000014*C7))+SIN(RADIANS(2*E7))*(0.019993-0.000101*C7)+SIN(RADIANS(3*E7))*0.000289</f>
        <v>0.5038855010815532</v>
      </c>
      <c r="H7" s="59">
        <f>D7+G7</f>
        <v>86.12842160907431</v>
      </c>
      <c r="I7" s="53">
        <f>E7+G7</f>
        <v>-36915.02902343494</v>
      </c>
      <c r="J7" s="48">
        <f>(1.000001018*(1-F7*F7))/(1+F7*COS(RADIANS(I7)))</f>
        <v>1.016002241339931</v>
      </c>
      <c r="K7" s="48">
        <f>H7-0.00569-0.00478*SIN(RADIANS(125.04-1934.136*C7))</f>
        <v>86.12529107518793</v>
      </c>
      <c r="L7" s="48">
        <f>23+(26+((21.448-C7*(46.815+C7*(0.00059-C7*0.001813))))/60)/60</f>
        <v>23.45275476241673</v>
      </c>
      <c r="M7" s="48">
        <f>L7+0.00256*COS(RADIANS(125.04-1934.136*C7))</f>
        <v>23.454916848623107</v>
      </c>
      <c r="N7" s="48">
        <f>DEGREES(ATAN2(COS(RADIANS(M7))*SIN(RADIANS(K7)),COS(RADIANS(K7))))</f>
        <v>4.222487757789821</v>
      </c>
      <c r="O7" s="67">
        <f>DEGREES(ASIN(SIN(RADIANS(M7))*SIN(RADIANS(K7))))</f>
        <v>23.39810572341021</v>
      </c>
      <c r="P7" s="67">
        <f>IF(LEFT(R3,1)="S",90-Q6-R6/60-P5+O7,-90+Q6+R6/60+P5+O7)</f>
        <v>-11.101894276589789</v>
      </c>
      <c r="Q7" s="30">
        <f>SIGN(P7)*INT(ABS(P7))</f>
        <v>-11</v>
      </c>
      <c r="R7" s="31">
        <f>(ABS(P7)-ABS(Q7))*60</f>
        <v>6.11365659538734</v>
      </c>
      <c r="S7" s="1"/>
    </row>
    <row r="8" spans="1:19" ht="16.5" customHeight="1">
      <c r="A8" s="19" t="s">
        <v>4</v>
      </c>
      <c r="B8" s="37"/>
      <c r="C8" s="43"/>
      <c r="D8" s="47" t="s">
        <v>6</v>
      </c>
      <c r="E8" s="54"/>
      <c r="F8" s="60"/>
      <c r="G8" s="60"/>
      <c r="H8" s="60"/>
      <c r="I8" s="54"/>
      <c r="J8" s="62"/>
      <c r="K8" s="62"/>
      <c r="L8" s="62"/>
      <c r="M8" s="62"/>
      <c r="N8" s="62"/>
      <c r="O8" s="68" t="s">
        <v>27</v>
      </c>
      <c r="P8" s="68" t="s">
        <v>27</v>
      </c>
      <c r="Q8" s="24" t="s">
        <v>27</v>
      </c>
      <c r="R8" s="25" t="s">
        <v>27</v>
      </c>
      <c r="S8" s="1"/>
    </row>
    <row r="9" spans="1:19" ht="16.5" customHeight="1">
      <c r="A9" s="15" t="s">
        <v>38</v>
      </c>
      <c r="B9" s="33" t="s">
        <v>13</v>
      </c>
      <c r="C9" s="39" t="s">
        <v>14</v>
      </c>
      <c r="D9" s="45" t="s">
        <v>19</v>
      </c>
      <c r="E9" s="50" t="s">
        <v>20</v>
      </c>
      <c r="F9" s="56" t="s">
        <v>15</v>
      </c>
      <c r="G9" s="56" t="s">
        <v>16</v>
      </c>
      <c r="H9" s="56" t="s">
        <v>21</v>
      </c>
      <c r="I9" s="50" t="s">
        <v>22</v>
      </c>
      <c r="J9" s="45" t="s">
        <v>17</v>
      </c>
      <c r="K9" s="45" t="s">
        <v>23</v>
      </c>
      <c r="L9" s="45" t="s">
        <v>24</v>
      </c>
      <c r="M9" s="45" t="s">
        <v>25</v>
      </c>
      <c r="N9" s="45" t="s">
        <v>26</v>
      </c>
      <c r="O9" s="50" t="s">
        <v>18</v>
      </c>
      <c r="P9" s="50" t="s">
        <v>39</v>
      </c>
      <c r="Q9" s="4"/>
      <c r="R9" s="22"/>
      <c r="S9" s="1"/>
    </row>
    <row r="10" spans="1:19" ht="16.5" customHeight="1">
      <c r="A10" s="15" t="s">
        <v>12</v>
      </c>
      <c r="B10" s="38">
        <f>Q1+2415018.5+I12-Q2/24-73050</f>
        <v>2413727.4936111113</v>
      </c>
      <c r="C10" s="44">
        <f>(B10-2451545)/36525</f>
        <v>-1.0353868963419217</v>
      </c>
      <c r="D10" s="49">
        <f>MOD(280.46646+C10*(36000.76983+C10*0.0003032),360)</f>
        <v>85.74144483470445</v>
      </c>
      <c r="E10" s="55">
        <f>357.52911+C10*(35999.05029-0.0001537*C10)</f>
        <v>-36915.416005790255</v>
      </c>
      <c r="F10" s="61">
        <f>0.016708634-C10*(0.000042037+0.0001537*C10)</f>
        <v>0.01658738815890111</v>
      </c>
      <c r="G10" s="61">
        <f>SIN(RADIANS(E10))*(1.914602-C10*(0.004817+0.000014*C10))+SIN(RADIANS(2*E10))*(0.019993-0.000101*C10)+SIN(RADIANS(3*E10))*0.000289</f>
        <v>0.5001799986612718</v>
      </c>
      <c r="H10" s="61">
        <f>D10+G10</f>
        <v>86.24162483336572</v>
      </c>
      <c r="I10" s="55">
        <f>E10+G10</f>
        <v>-36914.91582579159</v>
      </c>
      <c r="J10" s="49">
        <f>(1.000001018*(1-F10*F10))/(1+F10*COS(RADIANS(I10)))</f>
        <v>1.016010984394243</v>
      </c>
      <c r="K10" s="49">
        <f>H10-0.00569-0.00478*SIN(RADIANS(125.04-1934.136*C10))</f>
        <v>86.23849474201205</v>
      </c>
      <c r="L10" s="49">
        <f>23+(26+((21.448-C10*(46.815+C10*(0.00059-C10*0.001813))))/60)/60</f>
        <v>23.452754720193425</v>
      </c>
      <c r="M10" s="49">
        <f>L10+0.00256*COS(RADIANS(125.04-1934.136*C10))</f>
        <v>23.454916656120723</v>
      </c>
      <c r="N10" s="49">
        <f>DEGREES(ATAN2(COS(RADIANS(M10))*SIN(RADIANS(K10)),COS(RADIANS(K10))))</f>
        <v>4.099190927107607</v>
      </c>
      <c r="O10" s="69">
        <f>TAN(RADIANS(M10/2))*TAN(RADIANS(M10/2))</f>
        <v>0.043093560376307724</v>
      </c>
      <c r="P10" s="69">
        <f>DEGREES(ASIN(SIN(RADIANS(M10))*SIN(RADIANS(K10))))</f>
        <v>23.401374794785593</v>
      </c>
      <c r="Q10" s="4"/>
      <c r="R10" s="22"/>
      <c r="S10" s="1"/>
    </row>
    <row r="11" spans="1:19" ht="16.5" customHeight="1">
      <c r="A11" s="15" t="s">
        <v>10</v>
      </c>
      <c r="B11" s="5"/>
      <c r="C11" s="5"/>
      <c r="D11" s="5"/>
      <c r="E11" s="5"/>
      <c r="F11" s="5"/>
      <c r="G11" s="5"/>
      <c r="H11" s="5"/>
      <c r="I11" s="3" t="s">
        <v>44</v>
      </c>
      <c r="J11" s="3" t="s">
        <v>41</v>
      </c>
      <c r="K11" s="3" t="s">
        <v>42</v>
      </c>
      <c r="L11" s="3" t="s">
        <v>31</v>
      </c>
      <c r="M11" s="3" t="s">
        <v>40</v>
      </c>
      <c r="N11" s="3" t="s">
        <v>32</v>
      </c>
      <c r="O11" s="3" t="s">
        <v>33</v>
      </c>
      <c r="P11" s="6" t="s">
        <v>8</v>
      </c>
      <c r="Q11" s="8">
        <v>38</v>
      </c>
      <c r="R11" s="22">
        <v>37</v>
      </c>
      <c r="S11" s="1"/>
    </row>
    <row r="12" spans="1:19" ht="16.5" customHeight="1" thickBot="1">
      <c r="A12" s="23" t="s">
        <v>9</v>
      </c>
      <c r="B12" s="26" t="s">
        <v>7</v>
      </c>
      <c r="C12" s="26"/>
      <c r="D12" s="26"/>
      <c r="E12" s="26"/>
      <c r="F12" s="26"/>
      <c r="G12" s="26"/>
      <c r="H12" s="26"/>
      <c r="I12" s="27">
        <f>IF(Q9="",R1,(Q9+R9/60)/24)</f>
        <v>0.6186111111111111</v>
      </c>
      <c r="J12" s="28">
        <f>-(4*DEGREES(O10*SIN(2*RADIANS(D10))-2*F10*SIN(RADIANS(E10))+4*F10*O10*SIN(RADIANS(E10))*COS(2*RADIANS(D10))-0.5*O10*O10*SIN(4*RADIANS(D10))-1.25*F10*F10*SIN(2*RADIANS(E10))))/24/60</f>
        <v>0.0004360428999524641</v>
      </c>
      <c r="K12" s="16">
        <f>IF(Q10="",P7,Q10+SIGN(Q10)*ABS(R10)/60)</f>
        <v>-11.101894276589789</v>
      </c>
      <c r="L12" s="46">
        <f>(SIN(RADIANS(Q11+R11/60+P5))-SIN(RADIANS(K12))*SIN(RADIANS(P10)))/(COS(RADIANS(K12))*COS(RADIANS(P10)))</f>
        <v>0.7812089964451412</v>
      </c>
      <c r="M12" s="46">
        <f>DEGREES(ACOS(L12))</f>
        <v>38.628596354870304</v>
      </c>
      <c r="N12" s="27">
        <f>IF(I12&lt;0.52,(12-M12/15)/24,(12+M12/15)/24)</f>
        <v>0.6073016565413064</v>
      </c>
      <c r="O12" s="27">
        <f>N12+J12</f>
        <v>0.6077376994412589</v>
      </c>
      <c r="P12" s="16">
        <f>(O12-I12+Q2/24)*360</f>
        <v>-138.9144282011468</v>
      </c>
      <c r="Q12" s="17">
        <f>SIGN(P12)*INT(ABS(P12))</f>
        <v>-138</v>
      </c>
      <c r="R12" s="18">
        <f>(ABS(P12)-ABS(Q12))*60</f>
        <v>54.86569206880745</v>
      </c>
      <c r="S12" s="1"/>
    </row>
    <row r="13" spans="1:18" ht="16.5" customHeight="1">
      <c r="A13" s="77"/>
      <c r="B13" s="78"/>
      <c r="C13" s="78"/>
      <c r="D13" s="82" t="s">
        <v>1</v>
      </c>
      <c r="E13" s="78"/>
      <c r="F13" s="78"/>
      <c r="G13" s="78"/>
      <c r="H13" s="79"/>
      <c r="I13" s="80"/>
      <c r="J13" s="81"/>
      <c r="K13" s="80"/>
      <c r="L13" s="80"/>
      <c r="M13" s="79"/>
      <c r="N13" s="79"/>
      <c r="O13" s="81"/>
      <c r="P13" s="85"/>
      <c r="Q13" s="86"/>
      <c r="R13" s="1"/>
    </row>
    <row r="14" spans="1:18" ht="16.5" customHeight="1">
      <c r="A14" s="9"/>
      <c r="B14" s="10"/>
      <c r="C14" s="10"/>
      <c r="D14" s="83" t="s">
        <v>0</v>
      </c>
      <c r="Q14" s="2"/>
      <c r="R14" s="1"/>
    </row>
    <row r="15" spans="2:17" ht="15.75" customHeight="1">
      <c r="B15" s="11"/>
      <c r="D15" s="84" t="s">
        <v>47</v>
      </c>
      <c r="M15" s="75"/>
      <c r="Q15" s="7"/>
    </row>
    <row r="16" spans="2:17" ht="15">
      <c r="B16" s="11"/>
      <c r="Q16" s="7"/>
    </row>
    <row r="17" spans="2:17" ht="15">
      <c r="B17" s="11"/>
      <c r="Q17" s="7"/>
    </row>
    <row r="18" spans="2:17" ht="15">
      <c r="B18" s="11"/>
      <c r="I18" s="71"/>
      <c r="Q18" s="7"/>
    </row>
    <row r="19" spans="2:17" ht="15">
      <c r="B19" s="11"/>
      <c r="I19" s="70"/>
      <c r="Q19" s="7"/>
    </row>
    <row r="20" spans="2:17" ht="15">
      <c r="B20" s="11"/>
      <c r="G20" s="72"/>
      <c r="Q20" s="7"/>
    </row>
    <row r="21" spans="2:16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Sight Calculator</dc:title>
  <dc:subject>Version 2 (March 2011)</dc:subject>
  <dc:creator>George Brandenburg</dc:creator>
  <cp:keywords/>
  <dc:description>This sheet calculates the latitude from a noon sun sight and the longitude from a morning/afternoon sun sight as was done in the early nineteenth century. The method comes from Frank Reed's Course on Nineteenth Century Celestial Navigation.</dc:description>
  <cp:lastModifiedBy>George Brandenburg</cp:lastModifiedBy>
  <dcterms:created xsi:type="dcterms:W3CDTF">2010-04-20T18:52:34Z</dcterms:created>
  <dcterms:modified xsi:type="dcterms:W3CDTF">2011-03-27T21:47:02Z</dcterms:modified>
  <cp:category/>
  <cp:version/>
  <cp:contentType/>
  <cp:contentStatus/>
</cp:coreProperties>
</file>