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60" yWindow="9780" windowWidth="18060" windowHeight="1036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<sst xmlns="http://schemas.openxmlformats.org/spreadsheetml/2006/main" count="29" uniqueCount="26">
  <si>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Hs =</t>
  </si>
  <si>
    <t>Dip =</t>
  </si>
  <si>
    <t>Index Corr =</t>
  </si>
  <si>
    <t>Ha =</t>
  </si>
  <si>
    <t>Refraction =</t>
  </si>
  <si>
    <t>Parallax =</t>
  </si>
  <si>
    <t>SD =</t>
  </si>
  <si>
    <t>Ho =</t>
  </si>
  <si>
    <t>H. of eye =</t>
  </si>
  <si>
    <t>Pressure =</t>
  </si>
  <si>
    <t>Temp =</t>
  </si>
  <si>
    <t>mb</t>
  </si>
  <si>
    <t>Degrees =</t>
  </si>
  <si>
    <t>Minutes =</t>
  </si>
  <si>
    <t>Hs + IC =</t>
  </si>
  <si>
    <t>AH? (Y/N) =</t>
  </si>
  <si>
    <t>N</t>
  </si>
  <si>
    <t>HP (') =</t>
  </si>
  <si>
    <t>Z =</t>
  </si>
  <si>
    <t>OB =</t>
  </si>
  <si>
    <t>Latitude =</t>
  </si>
  <si>
    <t>Moon SD (º) =</t>
  </si>
  <si>
    <t>Sun SD (º) =</t>
  </si>
  <si>
    <t>163/600</t>
  </si>
  <si>
    <t>C</t>
  </si>
  <si>
    <t>ft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</si>
</sst>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00"/>
    <numFmt numFmtId="166" formatCode="0.0"/>
    <numFmt numFmtId="167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34" borderId="0" xfId="0" applyFont="1" applyFill="1" applyAlignment="1" applyProtection="1">
      <alignment horizontal="left"/>
      <protection locked="0"/>
    </xf>
    <xf numFmtId="167" fontId="0" fillId="35" borderId="0" xfId="0" applyNumberFormat="1" applyFill="1" applyAlignment="1">
      <alignment horizontal="left"/>
    </xf>
    <xf numFmtId="164" fontId="2" fillId="36" borderId="10" xfId="0" applyNumberFormat="1" applyFont="1" applyFill="1" applyBorder="1" applyAlignment="1" applyProtection="1">
      <alignment/>
      <protection locked="0"/>
    </xf>
    <xf numFmtId="167" fontId="0" fillId="35" borderId="10" xfId="0" applyNumberFormat="1" applyFill="1" applyBorder="1" applyAlignment="1">
      <alignment horizontal="left"/>
    </xf>
    <xf numFmtId="165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67" fontId="0" fillId="34" borderId="10" xfId="0" applyNumberFormat="1" applyFill="1" applyBorder="1" applyAlignment="1">
      <alignment/>
    </xf>
    <xf numFmtId="165" fontId="0" fillId="37" borderId="10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67" fontId="0" fillId="37" borderId="10" xfId="0" applyNumberFormat="1" applyFill="1" applyBorder="1" applyAlignment="1">
      <alignment/>
    </xf>
    <xf numFmtId="0" fontId="2" fillId="36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36" borderId="10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50" zoomScaleNormal="150" workbookViewId="0" topLeftCell="A1">
      <selection activeCell="B1" sqref="B1"/>
    </sheetView>
  </sheetViews>
  <sheetFormatPr defaultColWidth="11.00390625" defaultRowHeight="12.75"/>
  <cols>
    <col min="1" max="1" width="10.75390625" style="1" customWidth="1"/>
  </cols>
  <sheetData>
    <row r="1" spans="1:6" ht="12.75">
      <c r="A1" s="1" t="s">
        <v>0</v>
      </c>
      <c r="B1" s="13">
        <v>73.54333333333334</v>
      </c>
      <c r="C1" s="14">
        <f>ABS(B1-TRUNC(B1))*60</f>
        <v>32.60000000000019</v>
      </c>
      <c r="D1" s="1" t="s">
        <v>8</v>
      </c>
      <c r="E1" s="21">
        <v>12</v>
      </c>
      <c r="F1" s="21" t="s">
        <v>25</v>
      </c>
    </row>
    <row r="2" spans="1:6" ht="12.75">
      <c r="A2" s="1" t="s">
        <v>2</v>
      </c>
      <c r="B2" s="13">
        <v>0</v>
      </c>
      <c r="C2" s="14">
        <f>ABS(B2-TRUNC(B2))*60</f>
        <v>0</v>
      </c>
      <c r="D2" s="1" t="s">
        <v>9</v>
      </c>
      <c r="E2" s="21">
        <v>1010</v>
      </c>
      <c r="F2" s="22" t="s">
        <v>11</v>
      </c>
    </row>
    <row r="3" spans="1:6" ht="12.75">
      <c r="A3" s="1" t="s">
        <v>14</v>
      </c>
      <c r="B3" s="6">
        <f>SUM(B1:B2)</f>
        <v>73.54333333333334</v>
      </c>
      <c r="C3" s="12">
        <f>ABS(B3-TRUNC(B3))*60</f>
        <v>32.60000000000019</v>
      </c>
      <c r="D3" s="1" t="s">
        <v>10</v>
      </c>
      <c r="E3" s="21">
        <v>10</v>
      </c>
      <c r="F3" s="23" t="s">
        <v>24</v>
      </c>
    </row>
    <row r="4" spans="1:6" ht="12.75">
      <c r="A4" s="1" t="s">
        <v>15</v>
      </c>
      <c r="B4" s="13" t="s">
        <v>16</v>
      </c>
      <c r="D4" s="4" t="s">
        <v>4</v>
      </c>
      <c r="E4">
        <f>-0.00452*E2/(273+F5)/TAN(RADIANS(B6))</f>
        <v>-0.0047822508393824655</v>
      </c>
      <c r="F4">
        <f>-E2*(0.1594+0.0196*B6+0.00002*B6*B6)/(273+F5)/(1+0.505*B6+0.0845*B6*B6)</f>
        <v>-0.01232664709758766</v>
      </c>
    </row>
    <row r="5" spans="1:6" ht="12.75">
      <c r="A5" s="4" t="s">
        <v>1</v>
      </c>
      <c r="B5">
        <f>-SQRT(E1)*IF(F1="ft",0.971,1.76)/60</f>
        <v>-0.05606071113831266</v>
      </c>
      <c r="F5">
        <f>IF(F3="F",(E3-32)*5/9,E3)</f>
        <v>10</v>
      </c>
    </row>
    <row r="6" spans="1:6" ht="12.75">
      <c r="A6" s="2" t="s">
        <v>3</v>
      </c>
      <c r="B6" s="15">
        <f>IF(B4="Y",B3/2,B3+B5)</f>
        <v>73.48727262219502</v>
      </c>
      <c r="D6" s="1" t="s">
        <v>17</v>
      </c>
      <c r="E6" s="23">
        <v>0</v>
      </c>
      <c r="F6">
        <f>IF(ISBLANK(E6),0,E6/60)</f>
        <v>0</v>
      </c>
    </row>
    <row r="7" spans="1:2" ht="12.75">
      <c r="A7" s="2" t="s">
        <v>12</v>
      </c>
      <c r="B7" s="16">
        <f>TRUNC(B6)</f>
        <v>73</v>
      </c>
    </row>
    <row r="8" spans="1:6" ht="12.75">
      <c r="A8" s="2" t="s">
        <v>13</v>
      </c>
      <c r="B8" s="17">
        <f>ABS(B6-B7)*60</f>
        <v>29.2363573317013</v>
      </c>
      <c r="D8" s="8" t="s">
        <v>20</v>
      </c>
      <c r="E8" s="11"/>
      <c r="F8">
        <f>IF(ISBLANK(E8),0,RADIANS(E8))</f>
        <v>0</v>
      </c>
    </row>
    <row r="9" spans="1:6" ht="12.75">
      <c r="A9" s="4" t="s">
        <v>4</v>
      </c>
      <c r="B9" s="5">
        <f>IF(B6&lt;15,F4,E4)</f>
        <v>-0.0047822508393824655</v>
      </c>
      <c r="C9" s="12">
        <f>(B9-TRUNC(B9))*60</f>
        <v>-0.2869350503629479</v>
      </c>
      <c r="D9" s="8" t="s">
        <v>18</v>
      </c>
      <c r="E9" s="11"/>
      <c r="F9">
        <f>IF(ISBLANK(E9),0,RADIANS(E9))</f>
        <v>0</v>
      </c>
    </row>
    <row r="10" spans="1:5" ht="12.75">
      <c r="A10" s="4" t="s">
        <v>5</v>
      </c>
      <c r="B10" s="3">
        <f>F6*COS(RADIANS(B6))+E10</f>
        <v>0</v>
      </c>
      <c r="C10" s="12">
        <f>(B10-TRUNC(B10))*60</f>
        <v>0</v>
      </c>
      <c r="D10" s="7" t="s">
        <v>19</v>
      </c>
      <c r="E10">
        <f>IF(OR(ISBLANK(E8),ISBLANK(E9)),0,-0.0032*SIN(F8)*SIN(F8)*COS(C6)+0.0032*SIN(2*F8)*COS(F9)*SIN(C6))</f>
        <v>0</v>
      </c>
    </row>
    <row r="11" spans="1:5" ht="12.75">
      <c r="A11" s="1" t="s">
        <v>6</v>
      </c>
      <c r="B11" s="13">
        <v>0.26666666666666666</v>
      </c>
      <c r="C11" s="14">
        <f>(B11-TRUNC(B11))*60</f>
        <v>16</v>
      </c>
      <c r="D11" s="7" t="s">
        <v>22</v>
      </c>
      <c r="E11" s="10" t="s">
        <v>23</v>
      </c>
    </row>
    <row r="12" spans="1:5" ht="12.75">
      <c r="A12" s="2" t="s">
        <v>7</v>
      </c>
      <c r="B12" s="18">
        <f>B6+B9+B10+B11</f>
        <v>73.7491570380223</v>
      </c>
      <c r="D12" s="7" t="s">
        <v>21</v>
      </c>
      <c r="E12" s="9">
        <f>0.2724*F6</f>
        <v>0</v>
      </c>
    </row>
    <row r="13" spans="1:2" ht="12.75">
      <c r="A13" s="2" t="s">
        <v>12</v>
      </c>
      <c r="B13" s="19">
        <f>TRUNC(B12)</f>
        <v>73</v>
      </c>
    </row>
    <row r="14" spans="1:2" ht="12.75">
      <c r="A14" s="2" t="s">
        <v>13</v>
      </c>
      <c r="B14" s="20">
        <f>ABS(B12-B13)*60</f>
        <v>44.94942228133823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&amp;CCorrections to sextant altitude</oddHeader>
    <oddFooter>&amp;CCopyright 2009-2011. Navigation Spreadsheets. All rights reserved.</oddFooter>
  </headerFooter>
  <ignoredErrors>
    <ignoredError sqref="F6 F8:F9 E1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2009-04-17T17:46:47Z</dcterms:created>
  <dcterms:modified xsi:type="dcterms:W3CDTF">2013-02-10T19:55:54Z</dcterms:modified>
  <cp:category/>
  <cp:version/>
  <cp:contentType/>
  <cp:contentStatus/>
</cp:coreProperties>
</file>