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20" yWindow="10300" windowWidth="18020" windowHeight="8320" tabRatio="645" activeTab="0"/>
  </bookViews>
  <sheets>
    <sheet name="Main" sheetId="1" r:id="rId1"/>
  </sheets>
  <definedNames>
    <definedName name="Earth_B0" localSheetId="0">'Main'!$AQ$1:$AS$184</definedName>
    <definedName name="Earth_B1" localSheetId="0">'Main'!$AV$1:$AX$99</definedName>
    <definedName name="Earth_B2" localSheetId="0">'Main'!$BA$1:$BC$49</definedName>
    <definedName name="Earth_B3" localSheetId="0">'Main'!$BF$1:$BH$11</definedName>
    <definedName name="Earth_B4" localSheetId="0">'Main'!$BK$1:$BM$5</definedName>
    <definedName name="Earth_L0" localSheetId="0">'Main'!$M$1:$O$559</definedName>
    <definedName name="Earth_L1" localSheetId="0">'Main'!$R$1:$T$341</definedName>
    <definedName name="Earth_L2" localSheetId="0">'Main'!$W$1:$Y$142</definedName>
    <definedName name="Earth_L3" localSheetId="0">'Main'!$AB$1:$AD$22</definedName>
    <definedName name="Earth_L4" localSheetId="0">'Main'!$AG$1:$AI$11</definedName>
    <definedName name="Earth_L5" localSheetId="0">'Main'!$AL$1:$AN$5</definedName>
    <definedName name="Earth_R0" localSheetId="0">'Main'!$BP$1:$BR$526</definedName>
    <definedName name="Earth_R1" localSheetId="0">'Main'!$BU$1:$BW$292</definedName>
    <definedName name="Earth_R2" localSheetId="0">'Main'!$BZ$1:$CB$139</definedName>
    <definedName name="Earth_R3" localSheetId="0">'Main'!$CE$1:$CG$27</definedName>
    <definedName name="Earth_R4" localSheetId="0">'Main'!$CJ$1:$CL$10</definedName>
    <definedName name="Earth_R5" localSheetId="0">'Main'!$CO$1:$CQ$3</definedName>
  </definedNames>
  <calcPr fullCalcOnLoad="1"/>
</workbook>
</file>

<file path=xl/sharedStrings.xml><?xml version="1.0" encoding="utf-8"?>
<sst xmlns="http://schemas.openxmlformats.org/spreadsheetml/2006/main" count="201" uniqueCount="131">
  <si>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</si>
  <si>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</si>
  <si>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</si>
  <si>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</si>
  <si>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</si>
  <si>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</si>
  <si>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</si>
  <si>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</si>
  <si>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</si>
  <si>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</si>
  <si>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</si>
  <si>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</si>
  <si>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</si>
  <si>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</si>
  <si>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</si>
  <si>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</si>
  <si>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</si>
  <si>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</si>
  <si>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</si>
  <si>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</si>
  <si>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</si>
  <si>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</si>
  <si>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</si>
  <si>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</si>
  <si>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</si>
  <si>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</si>
  <si>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</si>
  <si>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</si>
  <si>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</si>
  <si>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</si>
  <si>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</si>
  <si>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</si>
  <si>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Earth</t>
  </si>
  <si>
    <t>Ear_L0</t>
  </si>
  <si>
    <t>Ear_L1</t>
  </si>
  <si>
    <t>Ear_L2</t>
  </si>
  <si>
    <t>Ear_L3</t>
  </si>
  <si>
    <t>Ear_L4</t>
  </si>
  <si>
    <t>Ear_L5</t>
  </si>
  <si>
    <t>Ear_B0</t>
  </si>
  <si>
    <t>Ear_B1</t>
  </si>
  <si>
    <t>Ear_B2</t>
  </si>
  <si>
    <t>Ear_B3</t>
  </si>
  <si>
    <t>Ear_B4</t>
  </si>
  <si>
    <t>Ear_B5</t>
  </si>
  <si>
    <t>Ear_R0</t>
  </si>
  <si>
    <t>Ear_R1</t>
  </si>
  <si>
    <t>Ear_R2</t>
  </si>
  <si>
    <t>Ear_R3</t>
  </si>
  <si>
    <t>Ear_R4</t>
  </si>
  <si>
    <t>Ear_R5</t>
  </si>
  <si>
    <t>Ear_R</t>
  </si>
  <si>
    <t>Ear_L_Rad</t>
  </si>
  <si>
    <t>Ear_L_Deg</t>
  </si>
  <si>
    <t>Ear_B_Rad</t>
  </si>
  <si>
    <t>Ear_B_Deg</t>
  </si>
  <si>
    <t>Sun</t>
  </si>
  <si>
    <t>Sun_L_Rad</t>
  </si>
  <si>
    <t>Sun_L_Deg</t>
  </si>
  <si>
    <t>Aberration</t>
  </si>
  <si>
    <t>exc</t>
  </si>
  <si>
    <t>p deg</t>
  </si>
  <si>
    <t>p deg 0-360</t>
  </si>
  <si>
    <t>p rad</t>
  </si>
  <si>
    <t>dl rad</t>
  </si>
  <si>
    <t>db rad</t>
  </si>
  <si>
    <t>NutEPS Rad</t>
  </si>
  <si>
    <t>Longitude</t>
  </si>
  <si>
    <t>Latitude</t>
  </si>
  <si>
    <t>Equatorial</t>
  </si>
  <si>
    <t>Coordinates</t>
  </si>
  <si>
    <t>Sun_Lambda</t>
  </si>
  <si>
    <t>Sun_Beta</t>
  </si>
  <si>
    <t>Alpha</t>
  </si>
  <si>
    <t>Delta</t>
  </si>
  <si>
    <t>SD_arcmin</t>
  </si>
  <si>
    <t>Eq of Time</t>
  </si>
  <si>
    <t>eot_deg</t>
  </si>
  <si>
    <t>l0 0-360</t>
  </si>
  <si>
    <t>SD</t>
  </si>
  <si>
    <t>Earth_L0</t>
  </si>
  <si>
    <t>Earth_L1</t>
  </si>
  <si>
    <t>Earth_L2</t>
  </si>
  <si>
    <t>Earth_L3</t>
  </si>
  <si>
    <t>Earth_L4</t>
  </si>
  <si>
    <t>Earth_L5</t>
  </si>
  <si>
    <t>Earth_B0</t>
  </si>
  <si>
    <t>Earth_B1</t>
  </si>
  <si>
    <t>Earth_B2</t>
  </si>
  <si>
    <t>Earth_B3</t>
  </si>
  <si>
    <t>Earth_B4</t>
  </si>
  <si>
    <t>Earth_R0</t>
  </si>
  <si>
    <t>Earth_R1</t>
  </si>
  <si>
    <t>Earth_R2</t>
  </si>
  <si>
    <t>Earth_R3</t>
  </si>
  <si>
    <t>Earth_R4</t>
  </si>
  <si>
    <t>Earth_R5</t>
  </si>
  <si>
    <t>u =</t>
  </si>
  <si>
    <t>dT =</t>
  </si>
  <si>
    <t>2150 &lt; Year</t>
  </si>
  <si>
    <t>Year &lt;= 500</t>
  </si>
  <si>
    <t>Y =</t>
  </si>
  <si>
    <t>Year &lt;= 1600</t>
  </si>
  <si>
    <t>Year &lt;= 1700</t>
  </si>
  <si>
    <t>t =</t>
  </si>
  <si>
    <t>Year &lt;= 1800</t>
  </si>
  <si>
    <t>Year &lt;= 1860</t>
  </si>
  <si>
    <t>1860 &lt; Year</t>
  </si>
  <si>
    <t>Year &lt;= 1900</t>
  </si>
  <si>
    <t>Year &lt;= 1920</t>
  </si>
  <si>
    <t>Year &lt;= 1941</t>
  </si>
  <si>
    <t>Year &lt;= 1961</t>
  </si>
  <si>
    <t>Year &lt;= 1986</t>
  </si>
  <si>
    <t>Year &lt;= 2005</t>
  </si>
  <si>
    <t>Year &lt;= 2050</t>
  </si>
  <si>
    <t>Year &lt;= 2150</t>
  </si>
  <si>
    <t>Year &lt;= -500</t>
  </si>
  <si>
    <t>-500 &lt; Year</t>
  </si>
  <si>
    <t>500 &lt; Year</t>
  </si>
  <si>
    <t>1600 &lt; Year</t>
  </si>
  <si>
    <t>1700 &lt; Year</t>
  </si>
  <si>
    <t>1800 &lt; Year</t>
  </si>
  <si>
    <t>1900 &lt; Year</t>
  </si>
  <si>
    <t>1920 &lt; Year</t>
  </si>
  <si>
    <t>1941 &lt; Year</t>
  </si>
  <si>
    <t>1961 &lt; Year</t>
  </si>
  <si>
    <t>1986 &lt; Year</t>
  </si>
  <si>
    <t>2005 &lt; Year</t>
  </si>
  <si>
    <t>2050 &lt; Year</t>
  </si>
  <si>
    <t>EoT minutes</t>
  </si>
  <si>
    <t>eot_minutes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</si>
</sst>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1" fontId="0" fillId="34" borderId="10" xfId="0" applyNumberFormat="1" applyFill="1" applyBorder="1" applyAlignment="1">
      <alignment horizontal="left"/>
    </xf>
    <xf numFmtId="166" fontId="0" fillId="34" borderId="10" xfId="0" applyNumberForma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right"/>
    </xf>
    <xf numFmtId="165" fontId="0" fillId="34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559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11.375" style="0" customWidth="1"/>
    <col min="2" max="2" width="10.875" style="0" customWidth="1"/>
    <col min="3" max="3" width="10.125" style="0" customWidth="1"/>
    <col min="4" max="4" width="10.375" style="0" customWidth="1"/>
    <col min="5" max="6" width="10.875" style="0" customWidth="1"/>
    <col min="13" max="15" width="12.00390625" style="5" customWidth="1"/>
    <col min="18" max="20" width="12.00390625" style="5" customWidth="1"/>
    <col min="21" max="21" width="10.875" style="0" customWidth="1"/>
    <col min="23" max="25" width="12.00390625" style="5" customWidth="1"/>
    <col min="28" max="30" width="12.00390625" style="5" customWidth="1"/>
    <col min="31" max="31" width="12.75390625" style="0" bestFit="1" customWidth="1"/>
    <col min="33" max="35" width="12.00390625" style="5" customWidth="1"/>
    <col min="36" max="36" width="12.75390625" style="0" bestFit="1" customWidth="1"/>
    <col min="38" max="38" width="9.00390625" style="5" customWidth="1"/>
    <col min="39" max="40" width="12.00390625" style="5" customWidth="1"/>
    <col min="43" max="45" width="12.00390625" style="5" customWidth="1"/>
    <col min="46" max="46" width="12.75390625" style="0" bestFit="1" customWidth="1"/>
    <col min="48" max="50" width="12.00390625" style="5" customWidth="1"/>
    <col min="51" max="51" width="11.00390625" style="0" bestFit="1" customWidth="1"/>
    <col min="53" max="53" width="10.00390625" style="5" customWidth="1"/>
    <col min="54" max="55" width="12.00390625" style="5" customWidth="1"/>
    <col min="56" max="56" width="12.00390625" style="0" bestFit="1" customWidth="1"/>
    <col min="58" max="58" width="8.00390625" style="5" customWidth="1"/>
    <col min="59" max="60" width="12.00390625" style="5" customWidth="1"/>
    <col min="61" max="61" width="12.00390625" style="0" bestFit="1" customWidth="1"/>
    <col min="63" max="63" width="6.00390625" style="5" customWidth="1"/>
    <col min="64" max="65" width="12.00390625" style="5" customWidth="1"/>
    <col min="66" max="66" width="12.00390625" style="0" bestFit="1" customWidth="1"/>
    <col min="68" max="70" width="12.00390625" style="5" customWidth="1"/>
    <col min="73" max="75" width="12.00390625" style="5" customWidth="1"/>
    <col min="78" max="80" width="12.00390625" style="5" customWidth="1"/>
    <col min="83" max="85" width="12.00390625" style="5" customWidth="1"/>
    <col min="86" max="86" width="11.00390625" style="0" bestFit="1" customWidth="1"/>
    <col min="88" max="88" width="10.00390625" style="5" customWidth="1"/>
    <col min="89" max="90" width="12.00390625" style="5" customWidth="1"/>
    <col min="91" max="91" width="12.00390625" style="0" bestFit="1" customWidth="1"/>
    <col min="93" max="93" width="8.00390625" style="5" customWidth="1"/>
    <col min="94" max="95" width="12.00390625" style="5" customWidth="1"/>
    <col min="96" max="96" width="12.75390625" style="0" bestFit="1" customWidth="1"/>
  </cols>
  <sheetData>
    <row r="1" spans="1:9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t="s">
        <v>15</v>
      </c>
      <c r="L1" t="s">
        <v>80</v>
      </c>
      <c r="M1" s="5">
        <v>1.75347045673</v>
      </c>
      <c r="N1" s="5">
        <v>0</v>
      </c>
      <c r="O1" s="5">
        <v>0</v>
      </c>
      <c r="P1">
        <f>M1*COS(N1+O1*$E$16)</f>
        <v>1.75347045673</v>
      </c>
      <c r="Q1" t="s">
        <v>81</v>
      </c>
      <c r="R1" s="5">
        <v>6283.31966747491</v>
      </c>
      <c r="S1" s="5">
        <v>0</v>
      </c>
      <c r="T1" s="5">
        <v>0</v>
      </c>
      <c r="U1">
        <f>R1*COS(S1+T1*$E$16)</f>
        <v>6283.31966747491</v>
      </c>
      <c r="V1" t="s">
        <v>82</v>
      </c>
      <c r="W1" s="5">
        <v>0.0005291887</v>
      </c>
      <c r="X1" s="5">
        <v>0</v>
      </c>
      <c r="Y1" s="5">
        <v>0</v>
      </c>
      <c r="Z1">
        <f>W1*COS(X1+Y1*$E$16)</f>
        <v>0.0005291887</v>
      </c>
      <c r="AA1" t="s">
        <v>83</v>
      </c>
      <c r="AB1" s="5">
        <v>2.89226E-06</v>
      </c>
      <c r="AC1" s="5">
        <v>5.84384198723</v>
      </c>
      <c r="AD1" s="5">
        <v>6283.0758499914</v>
      </c>
      <c r="AE1">
        <f>AB1*COS(AC1+AD1*$E$16)</f>
        <v>7.274746324303567E-07</v>
      </c>
      <c r="AF1" t="s">
        <v>84</v>
      </c>
      <c r="AG1" s="5">
        <v>1.14084E-06</v>
      </c>
      <c r="AH1" s="5">
        <v>3.14159265359</v>
      </c>
      <c r="AI1" s="5">
        <v>0</v>
      </c>
      <c r="AJ1">
        <f>AG1*COS(AH1+AI1*$E$16)</f>
        <v>-1.14084E-06</v>
      </c>
      <c r="AK1" t="s">
        <v>85</v>
      </c>
      <c r="AL1" s="5">
        <v>8.78E-09</v>
      </c>
      <c r="AM1" s="5">
        <v>3.14159265359</v>
      </c>
      <c r="AN1" s="5">
        <v>0</v>
      </c>
      <c r="AO1">
        <f>AL1*COS(AM1+AN1*$E$16)</f>
        <v>-8.78E-09</v>
      </c>
      <c r="AP1" t="s">
        <v>86</v>
      </c>
      <c r="AQ1" s="5">
        <v>2.7962E-06</v>
      </c>
      <c r="AR1" s="5">
        <v>3.19870156017</v>
      </c>
      <c r="AS1" s="5">
        <v>84334.6615813082</v>
      </c>
      <c r="AT1">
        <f>AQ1*COS(AR1+AS1*$E$16)</f>
        <v>-1.3510573795516693E-06</v>
      </c>
      <c r="AU1" t="s">
        <v>87</v>
      </c>
      <c r="AV1" s="5">
        <v>9.03E-08</v>
      </c>
      <c r="AW1" s="5">
        <v>3.8972906189</v>
      </c>
      <c r="AX1" s="5">
        <v>5507.5532386674</v>
      </c>
      <c r="AY1">
        <f>AV1*COS(AW1+AX1*$E$16)</f>
        <v>-6.738579532330362E-08</v>
      </c>
      <c r="AZ1" t="s">
        <v>88</v>
      </c>
      <c r="BA1" s="5">
        <v>1.662E-08</v>
      </c>
      <c r="BB1" s="5">
        <v>1.62703209173</v>
      </c>
      <c r="BC1" s="5">
        <v>84334.6615813082</v>
      </c>
      <c r="BD1">
        <f>BA1*COS(BB1+BC1*$E$16)</f>
        <v>1.455820032922081E-08</v>
      </c>
      <c r="BE1" t="s">
        <v>89</v>
      </c>
      <c r="BF1" s="5">
        <v>1.1E-10</v>
      </c>
      <c r="BG1" s="5">
        <v>0.23877262399</v>
      </c>
      <c r="BH1" s="5">
        <v>7860.4193924392</v>
      </c>
      <c r="BI1">
        <f>BF1*COS(BG1+BH1*$E$16)</f>
        <v>-8.906214544808544E-11</v>
      </c>
      <c r="BJ1" t="s">
        <v>90</v>
      </c>
      <c r="BK1" s="5">
        <v>4E-11</v>
      </c>
      <c r="BL1" s="5">
        <v>0.79662198849</v>
      </c>
      <c r="BM1" s="5">
        <v>6438.4962494256</v>
      </c>
      <c r="BN1">
        <f>BK1*COS(BL1+BM1*$E$16)</f>
        <v>-9.949287629399612E-12</v>
      </c>
      <c r="BO1" t="s">
        <v>91</v>
      </c>
      <c r="BP1" s="5">
        <v>1.00013988799</v>
      </c>
      <c r="BQ1" s="5">
        <v>0</v>
      </c>
      <c r="BR1" s="5">
        <v>0</v>
      </c>
      <c r="BS1">
        <f>BP1*COS(BQ1+BR1*$E$16)</f>
        <v>1.00013988799</v>
      </c>
      <c r="BT1" t="s">
        <v>92</v>
      </c>
      <c r="BU1" s="5">
        <v>0.00103018608</v>
      </c>
      <c r="BV1" s="5">
        <v>1.10748969588</v>
      </c>
      <c r="BW1" s="5">
        <v>6283.0758499914</v>
      </c>
      <c r="BX1">
        <f>BU1*COS(BV1+BW1*$E$16)</f>
        <v>-0.0009905715465806056</v>
      </c>
      <c r="BY1" t="s">
        <v>93</v>
      </c>
      <c r="BZ1" s="5">
        <v>4.359385E-05</v>
      </c>
      <c r="CA1" s="5">
        <v>5.78455133738</v>
      </c>
      <c r="CB1" s="5">
        <v>6283.0758499914</v>
      </c>
      <c r="CC1">
        <f>BZ1*COS(CA1+CB1*$E$16)</f>
        <v>1.3445806013278848E-05</v>
      </c>
      <c r="CD1" t="s">
        <v>94</v>
      </c>
      <c r="CE1" s="5">
        <v>1.44595E-06</v>
      </c>
      <c r="CF1" s="5">
        <v>4.27319435148</v>
      </c>
      <c r="CG1" s="5">
        <v>6283.0758499914</v>
      </c>
      <c r="CH1">
        <f>CE1*COS(CF1+CG1*$E$16)</f>
        <v>1.399518067262767E-06</v>
      </c>
      <c r="CI1" t="s">
        <v>95</v>
      </c>
      <c r="CJ1" s="5">
        <v>3.858E-08</v>
      </c>
      <c r="CK1" s="5">
        <v>2.56384387339</v>
      </c>
      <c r="CL1" s="5">
        <v>6283.0758499914</v>
      </c>
      <c r="CM1">
        <f>CJ1*COS(CK1+CL1*$E$16)</f>
        <v>-1.4762557674411412E-08</v>
      </c>
      <c r="CN1" t="s">
        <v>96</v>
      </c>
      <c r="CO1" s="5">
        <v>8.6E-10</v>
      </c>
      <c r="CP1" s="5">
        <v>1.21579741687</v>
      </c>
      <c r="CQ1" s="5">
        <v>6283.0758499914</v>
      </c>
      <c r="CR1">
        <f>CO1*COS(CP1+CQ1*$E$16)</f>
        <v>-8.47615874594652E-10</v>
      </c>
    </row>
    <row r="2" spans="1:96" ht="12.75">
      <c r="A2" s="16">
        <v>2012</v>
      </c>
      <c r="B2" s="17">
        <v>4</v>
      </c>
      <c r="C2" s="17">
        <v>12</v>
      </c>
      <c r="D2" s="17">
        <v>15</v>
      </c>
      <c r="E2" s="17">
        <v>34</v>
      </c>
      <c r="F2" s="17">
        <v>57</v>
      </c>
      <c r="M2" s="5">
        <v>0.03341656456</v>
      </c>
      <c r="N2" s="5">
        <v>4.66925680417</v>
      </c>
      <c r="O2" s="5">
        <v>6283.0758499914</v>
      </c>
      <c r="P2">
        <f aca="true" t="shared" si="0" ref="P2:P65">M2*COS(N2+O2*$E$16)</f>
        <v>0.03308043285339709</v>
      </c>
      <c r="R2" s="5">
        <v>0.00206058863</v>
      </c>
      <c r="S2" s="5">
        <v>2.67823455584</v>
      </c>
      <c r="T2" s="5">
        <v>6283.0758499914</v>
      </c>
      <c r="U2">
        <f aca="true" t="shared" si="1" ref="U2:U65">R2*COS(S2+T2*$E$16)</f>
        <v>-0.0005660284431767825</v>
      </c>
      <c r="W2" s="5">
        <v>8.719837E-05</v>
      </c>
      <c r="X2" s="5">
        <v>1.07209665242</v>
      </c>
      <c r="Y2" s="5">
        <v>6283.0758499914</v>
      </c>
      <c r="Z2">
        <f aca="true" t="shared" si="2" ref="Z2:Z65">W2*COS(X2+Y2*$E$16)</f>
        <v>-8.294532380669504E-05</v>
      </c>
      <c r="AB2" s="5">
        <v>3.4955E-07</v>
      </c>
      <c r="AC2" s="5">
        <v>0</v>
      </c>
      <c r="AD2" s="5">
        <v>0</v>
      </c>
      <c r="AE2">
        <f aca="true" t="shared" si="3" ref="AE2:AE22">AB2*COS(AC2+AD2*$E$16)</f>
        <v>3.4955E-07</v>
      </c>
      <c r="AG2" s="5">
        <v>7.717E-08</v>
      </c>
      <c r="AH2" s="5">
        <v>4.13446589358</v>
      </c>
      <c r="AI2" s="5">
        <v>6283.0758499914</v>
      </c>
      <c r="AJ2">
        <f aca="true" t="shared" si="4" ref="AJ2:AJ11">AG2*COS(AH2+AI2*$E$16)</f>
        <v>7.129176967447934E-08</v>
      </c>
      <c r="AL2" s="5">
        <v>1.72E-09</v>
      </c>
      <c r="AM2" s="5">
        <v>2.7657906951</v>
      </c>
      <c r="AN2" s="5">
        <v>6283.0758499914</v>
      </c>
      <c r="AO2">
        <f>AL2*COS(AM2+AN2*$E$16)</f>
        <v>-3.260429392163155E-10</v>
      </c>
      <c r="AQ2" s="5">
        <v>1.01643E-06</v>
      </c>
      <c r="AR2" s="5">
        <v>5.42248619256</v>
      </c>
      <c r="AS2" s="5">
        <v>5507.5532386674</v>
      </c>
      <c r="AT2">
        <f aca="true" t="shared" si="5" ref="AT2:AT65">AQ2*COS(AR2+AS2*$E$16)</f>
        <v>-7.104830136137231E-07</v>
      </c>
      <c r="AV2" s="5">
        <v>6.177E-08</v>
      </c>
      <c r="AW2" s="5">
        <v>1.73038850355</v>
      </c>
      <c r="AX2" s="5">
        <v>5223.6939198022</v>
      </c>
      <c r="AY2">
        <f aca="true" t="shared" si="6" ref="AY2:AY65">AV2*COS(AW2+AX2*$E$16)</f>
        <v>-6.147475709626822E-08</v>
      </c>
      <c r="BA2" s="5">
        <v>4.92E-09</v>
      </c>
      <c r="BB2" s="5">
        <v>2.41382223971</v>
      </c>
      <c r="BC2" s="5">
        <v>1047.7473117547</v>
      </c>
      <c r="BD2">
        <f aca="true" t="shared" si="7" ref="BD2:BD49">BA2*COS(BB2+BC2*$E$16)</f>
        <v>-4.4759020477731074E-09</v>
      </c>
      <c r="BF2" s="5">
        <v>9E-11</v>
      </c>
      <c r="BG2" s="5">
        <v>1.16069982609</v>
      </c>
      <c r="BH2" s="5">
        <v>5507.5532386674</v>
      </c>
      <c r="BI2">
        <f aca="true" t="shared" si="8" ref="BI2:BI11">BF2*COS(BG2+BH2*$E$16)</f>
        <v>8.533462483090942E-11</v>
      </c>
      <c r="BK2" s="5">
        <v>5E-11</v>
      </c>
      <c r="BL2" s="5">
        <v>0.84308705203</v>
      </c>
      <c r="BM2" s="5">
        <v>1047.7473117547</v>
      </c>
      <c r="BN2">
        <f>BK2*COS(BL2+BM2*$E$16)</f>
        <v>2.075655823395446E-11</v>
      </c>
      <c r="BP2" s="5">
        <v>0.01670699626</v>
      </c>
      <c r="BQ2" s="5">
        <v>3.09846350771</v>
      </c>
      <c r="BR2" s="5">
        <v>6283.0758499914</v>
      </c>
      <c r="BS2">
        <f aca="true" t="shared" si="9" ref="BS2:BS65">BP2*COS(BQ2+BR2*$E$16)</f>
        <v>0.002363750002859356</v>
      </c>
      <c r="BU2" s="5">
        <v>1.721238E-05</v>
      </c>
      <c r="BV2" s="5">
        <v>1.06442301418</v>
      </c>
      <c r="BW2" s="5">
        <v>12566.1516999828</v>
      </c>
      <c r="BX2">
        <f aca="true" t="shared" si="10" ref="BX2:BX65">BU2*COS(BV2+BW2*$E$16)</f>
        <v>-2.337035226424632E-06</v>
      </c>
      <c r="BZ2" s="5">
        <v>1.23633E-06</v>
      </c>
      <c r="CA2" s="5">
        <v>5.57934722157</v>
      </c>
      <c r="CB2" s="5">
        <v>12566.1516999828</v>
      </c>
      <c r="CC2">
        <f aca="true" t="shared" si="11" ref="CC2:CC65">BZ2*COS(CA2+CB2*$E$16)</f>
        <v>-1.1681456608528768E-06</v>
      </c>
      <c r="CE2" s="5">
        <v>6.729E-08</v>
      </c>
      <c r="CF2" s="5">
        <v>3.91697608662</v>
      </c>
      <c r="CG2" s="5">
        <v>12566.1516999828</v>
      </c>
      <c r="CH2">
        <f aca="true" t="shared" si="12" ref="CH2:CH27">CE2*COS(CF2+CG2*$E$16)</f>
        <v>2.7759573544645465E-08</v>
      </c>
      <c r="CJ2" s="5">
        <v>3.06E-09</v>
      </c>
      <c r="CK2" s="5">
        <v>2.2676950123</v>
      </c>
      <c r="CL2" s="5">
        <v>12566.1516999828</v>
      </c>
      <c r="CM2">
        <f aca="true" t="shared" si="13" ref="CM2:CM10">CJ2*COS(CK2+CL2*$E$16)</f>
        <v>2.6799245770598694E-09</v>
      </c>
      <c r="CO2" s="5">
        <v>1.2E-10</v>
      </c>
      <c r="CP2" s="5">
        <v>0.65617264033</v>
      </c>
      <c r="CQ2" s="5">
        <v>12566.1516999828</v>
      </c>
      <c r="CR2">
        <f>CO2*COS(CP2+CQ2*$E$16)</f>
        <v>-6.215346284943947E-11</v>
      </c>
    </row>
    <row r="3" spans="10:96" ht="12.75">
      <c r="J3" t="s">
        <v>101</v>
      </c>
      <c r="K3">
        <f>A2+(B2-0.5)/12</f>
        <v>2012.2916666666667</v>
      </c>
      <c r="M3" s="5">
        <v>0.00034894275</v>
      </c>
      <c r="N3" s="5">
        <v>4.62610241759</v>
      </c>
      <c r="O3" s="5">
        <v>12566.1516999828</v>
      </c>
      <c r="P3">
        <f t="shared" si="0"/>
        <v>-9.773597715134547E-05</v>
      </c>
      <c r="R3" s="5">
        <v>4.30343E-05</v>
      </c>
      <c r="S3" s="5">
        <v>2.63512650414</v>
      </c>
      <c r="T3" s="5">
        <v>12566.1516999828</v>
      </c>
      <c r="U3">
        <f t="shared" si="1"/>
        <v>4.263523841919137E-05</v>
      </c>
      <c r="W3" s="5">
        <v>3.09125E-06</v>
      </c>
      <c r="X3" s="5">
        <v>0.86728818832</v>
      </c>
      <c r="Y3" s="5">
        <v>12566.1516999828</v>
      </c>
      <c r="Z3">
        <f t="shared" si="2"/>
        <v>-1.011436469624813E-06</v>
      </c>
      <c r="AB3" s="5">
        <v>1.6819E-07</v>
      </c>
      <c r="AC3" s="5">
        <v>5.48766912348</v>
      </c>
      <c r="AD3" s="5">
        <v>12566.1516999828</v>
      </c>
      <c r="AE3">
        <f t="shared" si="3"/>
        <v>-1.532040198524963E-07</v>
      </c>
      <c r="AG3" s="5">
        <v>7.65E-09</v>
      </c>
      <c r="AH3" s="5">
        <v>3.83803776214</v>
      </c>
      <c r="AI3" s="5">
        <v>12566.1516999828</v>
      </c>
      <c r="AJ3">
        <f t="shared" si="4"/>
        <v>3.6956021939521267E-09</v>
      </c>
      <c r="AL3" s="5">
        <v>5E-10</v>
      </c>
      <c r="AM3" s="5">
        <v>2.01353298182</v>
      </c>
      <c r="AN3" s="5">
        <v>155.4203994342</v>
      </c>
      <c r="AO3">
        <f>AL3*COS(AM3+AN3*$E$16)</f>
        <v>-3.5529786388014485E-10</v>
      </c>
      <c r="AQ3" s="5">
        <v>8.0445E-07</v>
      </c>
      <c r="AR3" s="5">
        <v>3.88013204458</v>
      </c>
      <c r="AS3" s="5">
        <v>5223.6939198022</v>
      </c>
      <c r="AT3">
        <f t="shared" si="5"/>
        <v>3.722885359656211E-07</v>
      </c>
      <c r="AV3" s="5">
        <v>3.8E-08</v>
      </c>
      <c r="AW3" s="5">
        <v>5.24404145734</v>
      </c>
      <c r="AX3" s="5">
        <v>2352.8661537718</v>
      </c>
      <c r="AY3">
        <f t="shared" si="6"/>
        <v>-3.4681028418416264E-08</v>
      </c>
      <c r="BA3" s="5">
        <v>3.44E-09</v>
      </c>
      <c r="BB3" s="5">
        <v>2.24353004539</v>
      </c>
      <c r="BC3" s="5">
        <v>5507.5532386674</v>
      </c>
      <c r="BD3">
        <f t="shared" si="7"/>
        <v>2.494770206434843E-09</v>
      </c>
      <c r="BF3" s="5">
        <v>8E-11</v>
      </c>
      <c r="BG3" s="5">
        <v>1.65357552925</v>
      </c>
      <c r="BH3" s="5">
        <v>5884.9268465832</v>
      </c>
      <c r="BI3">
        <f t="shared" si="8"/>
        <v>7.279300135332575E-12</v>
      </c>
      <c r="BK3" s="5">
        <v>5E-11</v>
      </c>
      <c r="BL3" s="5">
        <v>0.05711572303</v>
      </c>
      <c r="BM3" s="5">
        <v>84334.6615813082</v>
      </c>
      <c r="BN3">
        <f>BK3*COS(BL3+BM3*$E$16)</f>
        <v>2.4159109990842872E-11</v>
      </c>
      <c r="BP3" s="5">
        <v>0.00013956023</v>
      </c>
      <c r="BQ3" s="5">
        <v>3.0552460962</v>
      </c>
      <c r="BR3" s="5">
        <v>12566.1516999828</v>
      </c>
      <c r="BS3">
        <f t="shared" si="9"/>
        <v>0.00013397643134761548</v>
      </c>
      <c r="BU3" s="5">
        <v>7.02215E-06</v>
      </c>
      <c r="BV3" s="5">
        <v>3.14159265359</v>
      </c>
      <c r="BW3" s="5">
        <v>0</v>
      </c>
      <c r="BX3">
        <f t="shared" si="10"/>
        <v>-7.02215E-06</v>
      </c>
      <c r="BZ3" s="5">
        <v>1.2341E-07</v>
      </c>
      <c r="CA3" s="5">
        <v>3.14159265359</v>
      </c>
      <c r="CB3" s="5">
        <v>0</v>
      </c>
      <c r="CC3">
        <f t="shared" si="11"/>
        <v>-1.2341E-07</v>
      </c>
      <c r="CE3" s="5">
        <v>7.74E-09</v>
      </c>
      <c r="CF3" s="5">
        <v>0</v>
      </c>
      <c r="CG3" s="5">
        <v>0</v>
      </c>
      <c r="CH3">
        <f t="shared" si="12"/>
        <v>7.74E-09</v>
      </c>
      <c r="CJ3" s="5">
        <v>5.3E-10</v>
      </c>
      <c r="CK3" s="5">
        <v>3.44031471924</v>
      </c>
      <c r="CL3" s="5">
        <v>5573.1428014331</v>
      </c>
      <c r="CM3">
        <f t="shared" si="13"/>
        <v>-4.922015176819672E-10</v>
      </c>
      <c r="CO3" s="5">
        <v>1E-11</v>
      </c>
      <c r="CP3" s="5">
        <v>0.38068797142</v>
      </c>
      <c r="CQ3" s="5">
        <v>18849.2275499742</v>
      </c>
      <c r="CR3">
        <f>CO3*COS(CP3+CQ3*$E$16)</f>
        <v>8.051642085097455E-12</v>
      </c>
    </row>
    <row r="4" spans="1:91" ht="12.75">
      <c r="A4" s="2" t="s">
        <v>6</v>
      </c>
      <c r="B4" s="2" t="s">
        <v>7</v>
      </c>
      <c r="C4" s="2" t="s">
        <v>4</v>
      </c>
      <c r="D4" s="2" t="s">
        <v>8</v>
      </c>
      <c r="E4" s="2" t="s">
        <v>7</v>
      </c>
      <c r="F4" s="2" t="s">
        <v>4</v>
      </c>
      <c r="M4" s="5">
        <v>3.417571E-05</v>
      </c>
      <c r="N4" s="5">
        <v>2.82886579606</v>
      </c>
      <c r="O4" s="5">
        <v>3.523118349</v>
      </c>
      <c r="P4">
        <f t="shared" si="0"/>
        <v>-3.294243486120289E-05</v>
      </c>
      <c r="R4" s="5">
        <v>4.25264E-06</v>
      </c>
      <c r="S4" s="5">
        <v>1.59046980729</v>
      </c>
      <c r="T4" s="5">
        <v>3.523118349</v>
      </c>
      <c r="U4">
        <f t="shared" si="1"/>
        <v>-2.6746841933706E-07</v>
      </c>
      <c r="W4" s="5">
        <v>2.7339E-07</v>
      </c>
      <c r="X4" s="5">
        <v>0.05297871691</v>
      </c>
      <c r="Y4" s="5">
        <v>3.523118349</v>
      </c>
      <c r="Z4">
        <f t="shared" si="2"/>
        <v>2.7212485084410745E-07</v>
      </c>
      <c r="AB4" s="5">
        <v>2.962E-08</v>
      </c>
      <c r="AC4" s="5">
        <v>5.19577265202</v>
      </c>
      <c r="AD4" s="5">
        <v>155.4203994342</v>
      </c>
      <c r="AE4">
        <f t="shared" si="3"/>
        <v>2.0183583521436705E-08</v>
      </c>
      <c r="AG4" s="5">
        <v>4.2E-09</v>
      </c>
      <c r="AH4" s="5">
        <v>0.41925861858</v>
      </c>
      <c r="AI4" s="5">
        <v>155.4203994342</v>
      </c>
      <c r="AJ4">
        <f t="shared" si="4"/>
        <v>-2.8842440114638246E-09</v>
      </c>
      <c r="AL4" s="5">
        <v>2.8E-10</v>
      </c>
      <c r="AM4" s="5">
        <v>2.21496423926</v>
      </c>
      <c r="AN4" s="5">
        <v>12566.1516999828</v>
      </c>
      <c r="AO4">
        <f>AL4*COS(AM4+AN4*$E$16)</f>
        <v>2.377576098823128E-10</v>
      </c>
      <c r="AQ4" s="5">
        <v>4.3806E-07</v>
      </c>
      <c r="AR4" s="5">
        <v>3.70444689758</v>
      </c>
      <c r="AS4" s="5">
        <v>2352.8661537718</v>
      </c>
      <c r="AT4">
        <f t="shared" si="5"/>
        <v>1.6648547618817309E-07</v>
      </c>
      <c r="AV4" s="5">
        <v>2.834E-08</v>
      </c>
      <c r="AW4" s="5">
        <v>2.4734503745</v>
      </c>
      <c r="AX4" s="5">
        <v>1577.3435424478</v>
      </c>
      <c r="AY4">
        <f t="shared" si="6"/>
        <v>-2.8028355501628428E-08</v>
      </c>
      <c r="BA4" s="5">
        <v>2.58E-09</v>
      </c>
      <c r="BB4" s="5">
        <v>6.00906896311</v>
      </c>
      <c r="BC4" s="5">
        <v>5223.6939198022</v>
      </c>
      <c r="BD4">
        <f t="shared" si="7"/>
        <v>1.3076577157655985E-09</v>
      </c>
      <c r="BF4" s="5">
        <v>8E-11</v>
      </c>
      <c r="BG4" s="5">
        <v>2.86720038197</v>
      </c>
      <c r="BH4" s="5">
        <v>7058.5984613154</v>
      </c>
      <c r="BI4">
        <f t="shared" si="8"/>
        <v>-7.264595849755664E-13</v>
      </c>
      <c r="BK4" s="5">
        <v>3E-11</v>
      </c>
      <c r="BL4" s="5">
        <v>3.46779895686</v>
      </c>
      <c r="BM4" s="5">
        <v>6279.5527316424</v>
      </c>
      <c r="BN4">
        <f>BK4*COS(BL4+BM4*$E$16)</f>
        <v>1.3533915460593107E-11</v>
      </c>
      <c r="BP4" s="5">
        <v>3.08372E-05</v>
      </c>
      <c r="BQ4" s="5">
        <v>5.19846674381</v>
      </c>
      <c r="BR4" s="5">
        <v>77713.7714681205</v>
      </c>
      <c r="BS4">
        <f t="shared" si="9"/>
        <v>-7.882812425710724E-06</v>
      </c>
      <c r="BU4" s="5">
        <v>3.2346E-07</v>
      </c>
      <c r="BV4" s="5">
        <v>1.02169059149</v>
      </c>
      <c r="BW4" s="5">
        <v>18849.2275499742</v>
      </c>
      <c r="BX4">
        <f t="shared" si="10"/>
        <v>3.2345386587327545E-07</v>
      </c>
      <c r="BZ4" s="5">
        <v>8.792E-08</v>
      </c>
      <c r="CA4" s="5">
        <v>3.62777733395</v>
      </c>
      <c r="CB4" s="5">
        <v>77713.7714681205</v>
      </c>
      <c r="CC4">
        <f t="shared" si="11"/>
        <v>-8.500130941906132E-08</v>
      </c>
      <c r="CE4" s="5">
        <v>2.47E-09</v>
      </c>
      <c r="CF4" s="5">
        <v>3.73019298781</v>
      </c>
      <c r="CG4" s="5">
        <v>18849.2275499742</v>
      </c>
      <c r="CH4">
        <f t="shared" si="12"/>
        <v>-2.2482942078225556E-09</v>
      </c>
      <c r="CJ4" s="5">
        <v>1.5E-10</v>
      </c>
      <c r="CK4" s="5">
        <v>2.04794573436</v>
      </c>
      <c r="CL4" s="5">
        <v>18849.2275499742</v>
      </c>
      <c r="CM4">
        <f t="shared" si="13"/>
        <v>7.691220761748867E-11</v>
      </c>
    </row>
    <row r="5" spans="1:95" s="8" customFormat="1" ht="12.75">
      <c r="A5" s="7"/>
      <c r="B5" s="18">
        <f>TRUNC(C61)</f>
        <v>53</v>
      </c>
      <c r="C5" s="19">
        <f>60*ABS(C61-B5)</f>
        <v>34.90756219507006</v>
      </c>
      <c r="D5" s="20" t="str">
        <f>IF(B60&gt;=0,"N","S")</f>
        <v>N</v>
      </c>
      <c r="E5" s="18">
        <f>ABS(TRUNC(B60))</f>
        <v>8</v>
      </c>
      <c r="F5" s="19">
        <f>60*ABS(B60-TRUNC(B60))</f>
        <v>59.19838930252219</v>
      </c>
      <c r="J5" s="8" t="s">
        <v>116</v>
      </c>
      <c r="K5" s="8" t="s">
        <v>99</v>
      </c>
      <c r="L5" s="10" t="b">
        <f>OR(A2&lt;=-500,A2&gt;2150)</f>
        <v>0</v>
      </c>
      <c r="M5" s="5">
        <v>3.497056E-05</v>
      </c>
      <c r="N5" s="5">
        <v>2.74411800971</v>
      </c>
      <c r="O5" s="5">
        <v>5753.3848848968</v>
      </c>
      <c r="P5">
        <f t="shared" si="0"/>
        <v>-1.4693570036345337E-05</v>
      </c>
      <c r="R5" s="5">
        <v>1.08977E-06</v>
      </c>
      <c r="S5" s="5">
        <v>2.96618001993</v>
      </c>
      <c r="T5" s="5">
        <v>1577.3435424478</v>
      </c>
      <c r="U5">
        <f t="shared" si="1"/>
        <v>-1.0258164187134044E-06</v>
      </c>
      <c r="W5" s="5">
        <v>1.6334E-07</v>
      </c>
      <c r="X5" s="5">
        <v>5.18826691036</v>
      </c>
      <c r="Y5" s="5">
        <v>26.2983197998</v>
      </c>
      <c r="Z5">
        <f t="shared" si="2"/>
        <v>1.1703774205382758E-07</v>
      </c>
      <c r="AB5" s="5">
        <v>1.288E-08</v>
      </c>
      <c r="AC5" s="5">
        <v>4.72200252235</v>
      </c>
      <c r="AD5" s="5">
        <v>3.523118349</v>
      </c>
      <c r="AE5">
        <f t="shared" si="3"/>
        <v>6.807291528042946E-10</v>
      </c>
      <c r="AG5" s="5">
        <v>4E-10</v>
      </c>
      <c r="AH5" s="5">
        <v>3.5984758584</v>
      </c>
      <c r="AI5" s="5">
        <v>18849.2275499742</v>
      </c>
      <c r="AJ5">
        <f t="shared" si="4"/>
        <v>-3.391888325850563E-10</v>
      </c>
      <c r="AL5" s="5">
        <v>5E-11</v>
      </c>
      <c r="AM5" s="5">
        <v>1.75600058765</v>
      </c>
      <c r="AN5" s="5">
        <v>18849.2275499742</v>
      </c>
      <c r="AO5">
        <f>AL5*COS(AM5+AN5*$E$16)</f>
        <v>3.690762555819085E-11</v>
      </c>
      <c r="AQ5" s="5">
        <v>3.1933E-07</v>
      </c>
      <c r="AR5" s="5">
        <v>4.00026369781</v>
      </c>
      <c r="AS5" s="5">
        <v>1577.3435424478</v>
      </c>
      <c r="AT5">
        <f t="shared" si="5"/>
        <v>-6.10671591852353E-08</v>
      </c>
      <c r="AV5" s="5">
        <v>1.817E-08</v>
      </c>
      <c r="AW5" s="5">
        <v>0.41874743765</v>
      </c>
      <c r="AX5" s="5">
        <v>6283.0758499914</v>
      </c>
      <c r="AY5">
        <f t="shared" si="6"/>
        <v>-1.0316997352115614E-08</v>
      </c>
      <c r="BA5" s="5">
        <v>1.31E-09</v>
      </c>
      <c r="BB5" s="5">
        <v>0.9544734524</v>
      </c>
      <c r="BC5" s="5">
        <v>6283.0758499914</v>
      </c>
      <c r="BD5">
        <f t="shared" si="7"/>
        <v>-1.1900699191172838E-09</v>
      </c>
      <c r="BF5" s="5">
        <v>7E-11</v>
      </c>
      <c r="BG5" s="5">
        <v>3.04818741666</v>
      </c>
      <c r="BH5" s="5">
        <v>5486.777843175</v>
      </c>
      <c r="BI5">
        <f t="shared" si="8"/>
        <v>1.811853691391713E-11</v>
      </c>
      <c r="BK5" s="5">
        <v>3E-11</v>
      </c>
      <c r="BL5" s="5">
        <v>2.89822201212</v>
      </c>
      <c r="BM5" s="5">
        <v>6127.6554505572</v>
      </c>
      <c r="BN5">
        <f>BK5*COS(BL5+BM5*$E$16)</f>
        <v>-2.7678365802615127E-11</v>
      </c>
      <c r="BP5" s="5">
        <v>1.628461E-05</v>
      </c>
      <c r="BQ5" s="5">
        <v>1.17387749012</v>
      </c>
      <c r="BR5" s="5">
        <v>5753.3848848968</v>
      </c>
      <c r="BS5">
        <f t="shared" si="9"/>
        <v>-1.4781197496131509E-05</v>
      </c>
      <c r="BU5" s="5">
        <v>3.0799E-07</v>
      </c>
      <c r="BV5" s="5">
        <v>2.84353804832</v>
      </c>
      <c r="BW5" s="5">
        <v>5507.5532386674</v>
      </c>
      <c r="BX5">
        <f t="shared" si="10"/>
        <v>6.46106172600113E-08</v>
      </c>
      <c r="BZ5" s="5">
        <v>5.689E-08</v>
      </c>
      <c r="CA5" s="5">
        <v>1.86958905084</v>
      </c>
      <c r="CB5" s="5">
        <v>5573.1428014331</v>
      </c>
      <c r="CC5">
        <f t="shared" si="11"/>
        <v>2.1095443418416098E-08</v>
      </c>
      <c r="CE5" s="5">
        <v>3.6E-10</v>
      </c>
      <c r="CF5" s="5">
        <v>2.8008140905</v>
      </c>
      <c r="CG5" s="5">
        <v>6286.5989683404</v>
      </c>
      <c r="CH5">
        <f t="shared" si="12"/>
        <v>-4.038876653180929E-11</v>
      </c>
      <c r="CJ5" s="5">
        <v>1.3E-10</v>
      </c>
      <c r="CK5" s="5">
        <v>2.05688873673</v>
      </c>
      <c r="CL5" s="5">
        <v>77713.7714681205</v>
      </c>
      <c r="CM5">
        <f t="shared" si="13"/>
        <v>3.3229633383213526E-11</v>
      </c>
      <c r="CO5" s="5"/>
      <c r="CP5" s="5"/>
      <c r="CQ5" s="5"/>
    </row>
    <row r="6" spans="10:91" ht="12.75">
      <c r="J6" t="s">
        <v>97</v>
      </c>
      <c r="K6">
        <f>(A2-1820)/100</f>
        <v>1.92</v>
      </c>
      <c r="M6" s="5">
        <v>3.135896E-05</v>
      </c>
      <c r="N6" s="5">
        <v>3.62767041758</v>
      </c>
      <c r="O6" s="5">
        <v>77713.7714681205</v>
      </c>
      <c r="P6">
        <f t="shared" si="0"/>
        <v>-3.031707602805083E-05</v>
      </c>
      <c r="R6" s="5">
        <v>9.3478E-07</v>
      </c>
      <c r="S6" s="5">
        <v>2.59212835365</v>
      </c>
      <c r="T6" s="5">
        <v>18849.2275499742</v>
      </c>
      <c r="U6">
        <f t="shared" si="1"/>
        <v>-5.421723575803852E-09</v>
      </c>
      <c r="W6" s="5">
        <v>1.5752E-07</v>
      </c>
      <c r="X6" s="5">
        <v>3.6845788943</v>
      </c>
      <c r="Y6" s="5">
        <v>155.4203994342</v>
      </c>
      <c r="Z6">
        <f t="shared" si="2"/>
        <v>1.214771516816464E-07</v>
      </c>
      <c r="AB6" s="5">
        <v>6.35E-09</v>
      </c>
      <c r="AC6" s="5">
        <v>5.96925937141</v>
      </c>
      <c r="AD6" s="5">
        <v>242.728603974</v>
      </c>
      <c r="AE6">
        <f t="shared" si="3"/>
        <v>-5.6473251713431E-09</v>
      </c>
      <c r="AG6" s="5">
        <v>4.1E-10</v>
      </c>
      <c r="AH6" s="5">
        <v>3.14398414077</v>
      </c>
      <c r="AI6" s="5">
        <v>3.523118349</v>
      </c>
      <c r="AJ6">
        <f t="shared" si="4"/>
        <v>-4.095727910446025E-10</v>
      </c>
      <c r="AQ6" s="5">
        <v>2.2724E-07</v>
      </c>
      <c r="AR6" s="5">
        <v>3.9847383156</v>
      </c>
      <c r="AS6" s="5">
        <v>1047.7473117547</v>
      </c>
      <c r="AT6">
        <f t="shared" si="5"/>
        <v>-9.432228901115081E-08</v>
      </c>
      <c r="AV6" s="5">
        <v>1.499E-08</v>
      </c>
      <c r="AW6" s="5">
        <v>1.83320979291</v>
      </c>
      <c r="AX6" s="5">
        <v>5856.4776591154</v>
      </c>
      <c r="AY6">
        <f t="shared" si="6"/>
        <v>-1.1769285165013006E-09</v>
      </c>
      <c r="BA6" s="5">
        <v>8.6E-10</v>
      </c>
      <c r="BB6" s="5">
        <v>1.67530247303</v>
      </c>
      <c r="BC6" s="5">
        <v>7860.4193924392</v>
      </c>
      <c r="BD6">
        <f t="shared" si="7"/>
        <v>-5.93405119867001E-10</v>
      </c>
      <c r="BF6" s="5">
        <v>7E-11</v>
      </c>
      <c r="BG6" s="5">
        <v>2.59437103785</v>
      </c>
      <c r="BH6" s="5">
        <v>529.6909650946</v>
      </c>
      <c r="BI6">
        <f t="shared" si="8"/>
        <v>-6.631370816034681E-11</v>
      </c>
      <c r="BP6" s="5">
        <v>1.575568E-05</v>
      </c>
      <c r="BQ6" s="5">
        <v>2.84685245825</v>
      </c>
      <c r="BR6" s="5">
        <v>7860.4193924392</v>
      </c>
      <c r="BS6">
        <f t="shared" si="9"/>
        <v>6.281122623227039E-06</v>
      </c>
      <c r="BU6" s="5">
        <v>2.4971E-07</v>
      </c>
      <c r="BV6" s="5">
        <v>1.31906709482</v>
      </c>
      <c r="BW6" s="5">
        <v>5223.6939198022</v>
      </c>
      <c r="BX6">
        <f t="shared" si="10"/>
        <v>-2.1803867323819945E-07</v>
      </c>
      <c r="BZ6" s="5">
        <v>3.301E-08</v>
      </c>
      <c r="CA6" s="5">
        <v>5.47027913302</v>
      </c>
      <c r="CB6" s="5">
        <v>18849.2275499742</v>
      </c>
      <c r="CC6">
        <f t="shared" si="11"/>
        <v>-8.410978999528969E-09</v>
      </c>
      <c r="CE6" s="5">
        <v>3.3E-10</v>
      </c>
      <c r="CF6" s="5">
        <v>5.62216602775</v>
      </c>
      <c r="CG6" s="5">
        <v>6127.6554505572</v>
      </c>
      <c r="CH6">
        <f t="shared" si="12"/>
        <v>2.2666145071442185E-10</v>
      </c>
      <c r="CJ6" s="5">
        <v>7E-11</v>
      </c>
      <c r="CK6" s="5">
        <v>4.4121885448</v>
      </c>
      <c r="CL6" s="5">
        <v>161000.685737674</v>
      </c>
      <c r="CM6">
        <f t="shared" si="13"/>
        <v>-4.3664614087857756E-11</v>
      </c>
    </row>
    <row r="7" spans="1:91" ht="12.75">
      <c r="A7" s="3" t="s">
        <v>79</v>
      </c>
      <c r="B7" s="11" t="s">
        <v>4</v>
      </c>
      <c r="D7" s="2" t="s">
        <v>76</v>
      </c>
      <c r="E7" s="11" t="s">
        <v>4</v>
      </c>
      <c r="F7" s="11" t="s">
        <v>5</v>
      </c>
      <c r="J7" t="s">
        <v>98</v>
      </c>
      <c r="K7">
        <f>-20+32*K6*K6</f>
        <v>97.9648</v>
      </c>
      <c r="L7">
        <f>K7*L5</f>
        <v>0</v>
      </c>
      <c r="M7" s="5">
        <v>2.676218E-05</v>
      </c>
      <c r="N7" s="5">
        <v>4.41808351397</v>
      </c>
      <c r="O7" s="5">
        <v>7860.4193924392</v>
      </c>
      <c r="P7">
        <f t="shared" si="0"/>
        <v>2.4538949823646033E-05</v>
      </c>
      <c r="R7" s="5">
        <v>1.19261E-06</v>
      </c>
      <c r="S7" s="5">
        <v>5.79557487799</v>
      </c>
      <c r="T7" s="5">
        <v>26.2983197998</v>
      </c>
      <c r="U7">
        <f t="shared" si="1"/>
        <v>1.1764758600491048E-06</v>
      </c>
      <c r="W7" s="5">
        <v>9.541E-08</v>
      </c>
      <c r="X7" s="5">
        <v>0.75742297675</v>
      </c>
      <c r="Y7" s="5">
        <v>18849.2275499742</v>
      </c>
      <c r="Z7">
        <f t="shared" si="2"/>
        <v>9.224948504579707E-08</v>
      </c>
      <c r="AB7" s="5">
        <v>7.14E-09</v>
      </c>
      <c r="AC7" s="5">
        <v>5.30045809128</v>
      </c>
      <c r="AD7" s="5">
        <v>18849.2275499742</v>
      </c>
      <c r="AE7">
        <f t="shared" si="3"/>
        <v>-2.9599820446181005E-09</v>
      </c>
      <c r="AG7" s="5">
        <v>3.5E-10</v>
      </c>
      <c r="AH7" s="5">
        <v>5.00298940826</v>
      </c>
      <c r="AI7" s="5">
        <v>5573.1428014331</v>
      </c>
      <c r="AJ7">
        <f t="shared" si="4"/>
        <v>-1.324423884679866E-10</v>
      </c>
      <c r="AQ7" s="5">
        <v>1.6392E-07</v>
      </c>
      <c r="AR7" s="5">
        <v>3.56456119782</v>
      </c>
      <c r="AS7" s="5">
        <v>5856.4776591154</v>
      </c>
      <c r="AT7">
        <f t="shared" si="5"/>
        <v>1.6336974738047854E-07</v>
      </c>
      <c r="AV7" s="5">
        <v>1.466E-08</v>
      </c>
      <c r="AW7" s="5">
        <v>5.69401926017</v>
      </c>
      <c r="AX7" s="5">
        <v>5753.3848848968</v>
      </c>
      <c r="AY7">
        <f t="shared" si="6"/>
        <v>8.58137435493585E-09</v>
      </c>
      <c r="BA7" s="5">
        <v>9E-10</v>
      </c>
      <c r="BB7" s="5">
        <v>0.97606804452</v>
      </c>
      <c r="BC7" s="5">
        <v>1577.3435424478</v>
      </c>
      <c r="BD7">
        <f t="shared" si="7"/>
        <v>6.745781824436629E-11</v>
      </c>
      <c r="BF7" s="5">
        <v>8E-11</v>
      </c>
      <c r="BG7" s="5">
        <v>4.02863090524</v>
      </c>
      <c r="BH7" s="5">
        <v>6256.7775301916</v>
      </c>
      <c r="BI7">
        <f t="shared" si="8"/>
        <v>5.448376504233759E-11</v>
      </c>
      <c r="BP7" s="5">
        <v>9.24799E-06</v>
      </c>
      <c r="BQ7" s="5">
        <v>5.45292234084</v>
      </c>
      <c r="BR7" s="5">
        <v>11506.7697697936</v>
      </c>
      <c r="BS7">
        <f t="shared" si="9"/>
        <v>-5.729945671052971E-06</v>
      </c>
      <c r="BU7" s="5">
        <v>1.8485E-07</v>
      </c>
      <c r="BV7" s="5">
        <v>1.42429748614</v>
      </c>
      <c r="BW7" s="5">
        <v>1577.3435424478</v>
      </c>
      <c r="BX7">
        <f t="shared" si="10"/>
        <v>-6.73967840832465E-08</v>
      </c>
      <c r="BZ7" s="5">
        <v>1.471E-08</v>
      </c>
      <c r="CA7" s="5">
        <v>4.48028885617</v>
      </c>
      <c r="CB7" s="5">
        <v>5507.5532386674</v>
      </c>
      <c r="CC7">
        <f t="shared" si="11"/>
        <v>-1.4554786817331547E-08</v>
      </c>
      <c r="CE7" s="5">
        <v>1.9E-10</v>
      </c>
      <c r="CF7" s="5">
        <v>3.71292621802</v>
      </c>
      <c r="CG7" s="5">
        <v>6438.4962494256</v>
      </c>
      <c r="CH7">
        <f t="shared" si="12"/>
        <v>8.717458570512189E-11</v>
      </c>
      <c r="CJ7" s="5">
        <v>5E-11</v>
      </c>
      <c r="CK7" s="5">
        <v>5.26154653107</v>
      </c>
      <c r="CL7" s="5">
        <v>6438.4962494256</v>
      </c>
      <c r="CM7">
        <f t="shared" si="13"/>
        <v>-4.390701226546607E-11</v>
      </c>
    </row>
    <row r="8" spans="2:91" ht="12.75">
      <c r="B8" s="21">
        <f>C45</f>
        <v>15.95219207932575</v>
      </c>
      <c r="D8" s="22" t="str">
        <f>IF(E66&gt;=0,"+","-")</f>
        <v>-</v>
      </c>
      <c r="E8" s="23">
        <f>ABS(E67)</f>
        <v>0</v>
      </c>
      <c r="F8" s="23">
        <f>F67</f>
        <v>37</v>
      </c>
      <c r="M8" s="5">
        <v>2.342687E-05</v>
      </c>
      <c r="N8" s="5">
        <v>6.13516237631</v>
      </c>
      <c r="O8" s="5">
        <v>3930.2096962196</v>
      </c>
      <c r="P8">
        <f t="shared" si="0"/>
        <v>-1.2858557377332265E-05</v>
      </c>
      <c r="R8" s="5">
        <v>7.2122E-07</v>
      </c>
      <c r="S8" s="5">
        <v>1.13846158196</v>
      </c>
      <c r="T8" s="5">
        <v>529.6909650946</v>
      </c>
      <c r="U8">
        <f t="shared" si="1"/>
        <v>1.5111347625593203E-07</v>
      </c>
      <c r="W8" s="5">
        <v>8.937E-08</v>
      </c>
      <c r="X8" s="5">
        <v>2.05705419118</v>
      </c>
      <c r="Y8" s="5">
        <v>77713.7714681205</v>
      </c>
      <c r="Z8">
        <f t="shared" si="2"/>
        <v>2.2829799134646626E-08</v>
      </c>
      <c r="AB8" s="5">
        <v>4.02E-09</v>
      </c>
      <c r="AC8" s="5">
        <v>3.78682982419</v>
      </c>
      <c r="AD8" s="5">
        <v>553.5694028424</v>
      </c>
      <c r="AE8">
        <f t="shared" si="3"/>
        <v>-1.6064418687932206E-09</v>
      </c>
      <c r="AG8" s="5">
        <v>1.3E-10</v>
      </c>
      <c r="AH8" s="5">
        <v>0.48794833701</v>
      </c>
      <c r="AI8" s="5">
        <v>77713.7714681205</v>
      </c>
      <c r="AJ8">
        <f t="shared" si="4"/>
        <v>1.2574276442082288E-10</v>
      </c>
      <c r="AQ8" s="5">
        <v>1.8141E-07</v>
      </c>
      <c r="AR8" s="5">
        <v>4.98367470263</v>
      </c>
      <c r="AS8" s="5">
        <v>6283.0758499914</v>
      </c>
      <c r="AT8">
        <f t="shared" si="5"/>
        <v>1.6284385348895413E-07</v>
      </c>
      <c r="AV8" s="5">
        <v>1.301E-08</v>
      </c>
      <c r="AW8" s="5">
        <v>2.18890066314</v>
      </c>
      <c r="AX8" s="5">
        <v>9437.762934887</v>
      </c>
      <c r="AY8">
        <f t="shared" si="6"/>
        <v>3.492811434489715E-09</v>
      </c>
      <c r="BA8" s="5">
        <v>9E-10</v>
      </c>
      <c r="BB8" s="5">
        <v>0.37899871725</v>
      </c>
      <c r="BC8" s="5">
        <v>2352.8661537718</v>
      </c>
      <c r="BD8">
        <f t="shared" si="7"/>
        <v>-4.884749294582105E-10</v>
      </c>
      <c r="BF8" s="5">
        <v>8E-11</v>
      </c>
      <c r="BG8" s="5">
        <v>2.42003508927</v>
      </c>
      <c r="BH8" s="5">
        <v>5753.3848848968</v>
      </c>
      <c r="BI8">
        <f t="shared" si="8"/>
        <v>-5.498108642768711E-11</v>
      </c>
      <c r="BP8" s="5">
        <v>5.42444E-06</v>
      </c>
      <c r="BQ8" s="5">
        <v>4.56409149777</v>
      </c>
      <c r="BR8" s="5">
        <v>3930.2096962196</v>
      </c>
      <c r="BS8">
        <f t="shared" si="9"/>
        <v>-4.533475482797407E-06</v>
      </c>
      <c r="BU8" s="5">
        <v>1.0078E-07</v>
      </c>
      <c r="BV8" s="5">
        <v>5.91378194648</v>
      </c>
      <c r="BW8" s="5">
        <v>10977.078804699</v>
      </c>
      <c r="BX8">
        <f t="shared" si="10"/>
        <v>-7.943188929751944E-08</v>
      </c>
      <c r="BZ8" s="5">
        <v>1.013E-08</v>
      </c>
      <c r="CA8" s="5">
        <v>2.81456417694</v>
      </c>
      <c r="CB8" s="5">
        <v>5223.6939198022</v>
      </c>
      <c r="CC8">
        <f t="shared" si="11"/>
        <v>-5.588981468723776E-09</v>
      </c>
      <c r="CE8" s="5">
        <v>1.6E-10</v>
      </c>
      <c r="CF8" s="5">
        <v>4.26011484232</v>
      </c>
      <c r="CG8" s="5">
        <v>6525.8044539654</v>
      </c>
      <c r="CH8">
        <f t="shared" si="12"/>
        <v>-1.4555758940116296E-10</v>
      </c>
      <c r="CJ8" s="5">
        <v>5E-11</v>
      </c>
      <c r="CK8" s="5">
        <v>4.07695126049</v>
      </c>
      <c r="CL8" s="5">
        <v>6127.6554505572</v>
      </c>
      <c r="CM8">
        <f t="shared" si="13"/>
        <v>-3.544949127170828E-11</v>
      </c>
    </row>
    <row r="9" spans="10:91" ht="12.75">
      <c r="J9" s="13" t="s">
        <v>117</v>
      </c>
      <c r="K9" t="s">
        <v>100</v>
      </c>
      <c r="L9" t="b">
        <f>AND(-500&lt;A2,A2&lt;=500)</f>
        <v>0</v>
      </c>
      <c r="M9" s="5">
        <v>1.273166E-05</v>
      </c>
      <c r="N9" s="5">
        <v>2.03709655772</v>
      </c>
      <c r="O9" s="5">
        <v>529.6909650946</v>
      </c>
      <c r="P9">
        <f t="shared" si="0"/>
        <v>-8.080054465162282E-06</v>
      </c>
      <c r="R9" s="5">
        <v>6.7768E-07</v>
      </c>
      <c r="S9" s="5">
        <v>1.87472304791</v>
      </c>
      <c r="T9" s="5">
        <v>398.1490034082</v>
      </c>
      <c r="U9">
        <f t="shared" si="1"/>
        <v>6.008867994077747E-07</v>
      </c>
      <c r="W9" s="5">
        <v>6.952E-08</v>
      </c>
      <c r="X9" s="5">
        <v>0.8267330541</v>
      </c>
      <c r="Y9" s="5">
        <v>775.522611324</v>
      </c>
      <c r="Z9">
        <f t="shared" si="2"/>
        <v>-4.183298449632262E-08</v>
      </c>
      <c r="AB9" s="5">
        <v>7.2E-10</v>
      </c>
      <c r="AC9" s="5">
        <v>4.2976812618</v>
      </c>
      <c r="AD9" s="5">
        <v>6286.5989683404</v>
      </c>
      <c r="AE9">
        <f t="shared" si="3"/>
        <v>7.075337429128654E-10</v>
      </c>
      <c r="AG9" s="5">
        <v>1E-10</v>
      </c>
      <c r="AH9" s="5">
        <v>5.6480176635</v>
      </c>
      <c r="AI9" s="5">
        <v>6127.6554505572</v>
      </c>
      <c r="AJ9">
        <f t="shared" si="4"/>
        <v>7.054101645007399E-11</v>
      </c>
      <c r="AQ9" s="5">
        <v>1.4443E-07</v>
      </c>
      <c r="AR9" s="5">
        <v>3.70275614914</v>
      </c>
      <c r="AS9" s="5">
        <v>9437.762934887</v>
      </c>
      <c r="AT9">
        <f t="shared" si="5"/>
        <v>1.4110886338739404E-07</v>
      </c>
      <c r="AV9" s="5">
        <v>1.233E-08</v>
      </c>
      <c r="AW9" s="5">
        <v>4.95222451476</v>
      </c>
      <c r="AX9" s="5">
        <v>10213.285546211</v>
      </c>
      <c r="AY9">
        <f t="shared" si="6"/>
        <v>-9.960148241786395E-11</v>
      </c>
      <c r="BA9" s="5">
        <v>8.9E-10</v>
      </c>
      <c r="BB9" s="5">
        <v>6.25807507963</v>
      </c>
      <c r="BC9" s="5">
        <v>10213.285546211</v>
      </c>
      <c r="BD9">
        <f t="shared" si="7"/>
        <v>8.570343476990172E-10</v>
      </c>
      <c r="BF9" s="5">
        <v>6E-11</v>
      </c>
      <c r="BG9" s="5">
        <v>0.84181087594</v>
      </c>
      <c r="BH9" s="5">
        <v>6275.9623029906</v>
      </c>
      <c r="BI9">
        <f t="shared" si="8"/>
        <v>-4.843744939222347E-11</v>
      </c>
      <c r="BP9" s="5">
        <v>4.7211E-06</v>
      </c>
      <c r="BQ9" s="5">
        <v>3.66100022149</v>
      </c>
      <c r="BR9" s="5">
        <v>5884.9268465832</v>
      </c>
      <c r="BS9">
        <f t="shared" si="9"/>
        <v>4.07876851169492E-06</v>
      </c>
      <c r="BU9" s="5">
        <v>8.634E-08</v>
      </c>
      <c r="BV9" s="5">
        <v>0.27146150602</v>
      </c>
      <c r="BW9" s="5">
        <v>5486.777843175</v>
      </c>
      <c r="BX9">
        <f t="shared" si="10"/>
        <v>8.881559628016889E-09</v>
      </c>
      <c r="BZ9" s="5">
        <v>8.54E-09</v>
      </c>
      <c r="CA9" s="5">
        <v>3.10878241236</v>
      </c>
      <c r="CB9" s="5">
        <v>1577.3435424478</v>
      </c>
      <c r="CC9">
        <f t="shared" si="11"/>
        <v>-7.547567509406799E-09</v>
      </c>
      <c r="CE9" s="5">
        <v>1.6E-10</v>
      </c>
      <c r="CF9" s="5">
        <v>3.50416887054</v>
      </c>
      <c r="CG9" s="5">
        <v>6256.7775301916</v>
      </c>
      <c r="CH9">
        <f t="shared" si="12"/>
        <v>3.565484262103985E-11</v>
      </c>
      <c r="CJ9" s="5">
        <v>6E-11</v>
      </c>
      <c r="CK9" s="5">
        <v>3.81514213664</v>
      </c>
      <c r="CL9" s="5">
        <v>149854.400134807</v>
      </c>
      <c r="CM9">
        <f t="shared" si="13"/>
        <v>-5.943844166610936E-11</v>
      </c>
    </row>
    <row r="10" spans="1:95" s="10" customFormat="1" ht="12.75">
      <c r="A10" s="9" t="s">
        <v>9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J10" s="8" t="s">
        <v>97</v>
      </c>
      <c r="K10" s="10">
        <f>K3/100</f>
        <v>20.12291666666667</v>
      </c>
      <c r="M10" s="5">
        <v>1.324292E-05</v>
      </c>
      <c r="N10" s="5">
        <v>0.74246356352</v>
      </c>
      <c r="O10" s="5">
        <v>11506.7697697936</v>
      </c>
      <c r="P10">
        <f t="shared" si="0"/>
        <v>-1.0378868840729019E-05</v>
      </c>
      <c r="R10" s="5">
        <v>6.7327E-07</v>
      </c>
      <c r="S10" s="5">
        <v>4.40918235168</v>
      </c>
      <c r="T10" s="5">
        <v>5507.5532386674</v>
      </c>
      <c r="U10">
        <f t="shared" si="1"/>
        <v>-6.575521831561976E-07</v>
      </c>
      <c r="W10" s="5">
        <v>5.064E-08</v>
      </c>
      <c r="X10" s="5">
        <v>4.66284525271</v>
      </c>
      <c r="Y10" s="5">
        <v>1577.3435424478</v>
      </c>
      <c r="Z10">
        <f t="shared" si="2"/>
        <v>2.294143309515987E-08</v>
      </c>
      <c r="AB10" s="5">
        <v>6.7E-10</v>
      </c>
      <c r="AC10" s="5">
        <v>0.90721687647</v>
      </c>
      <c r="AD10" s="5">
        <v>6127.6554505572</v>
      </c>
      <c r="AE10">
        <f t="shared" si="3"/>
        <v>4.881302115836647E-10</v>
      </c>
      <c r="AG10" s="5">
        <v>8E-11</v>
      </c>
      <c r="AH10" s="5">
        <v>2.84160570605</v>
      </c>
      <c r="AI10" s="5">
        <v>161000.685737674</v>
      </c>
      <c r="AJ10">
        <f t="shared" si="4"/>
        <v>6.251732967951456E-11</v>
      </c>
      <c r="AL10" s="5"/>
      <c r="AM10" s="5"/>
      <c r="AN10" s="5"/>
      <c r="AQ10" s="5">
        <v>1.4304E-07</v>
      </c>
      <c r="AR10" s="5">
        <v>3.41117857525</v>
      </c>
      <c r="AS10" s="5">
        <v>10213.285546211</v>
      </c>
      <c r="AT10">
        <f t="shared" si="5"/>
        <v>-1.4300640912404928E-07</v>
      </c>
      <c r="AV10" s="5">
        <v>1.021E-08</v>
      </c>
      <c r="AW10" s="5">
        <v>0.12866660208</v>
      </c>
      <c r="AX10" s="5">
        <v>7860.4193924392</v>
      </c>
      <c r="AY10">
        <f t="shared" si="6"/>
        <v>-7.558071820002741E-09</v>
      </c>
      <c r="BA10" s="5">
        <v>7.5E-10</v>
      </c>
      <c r="BB10" s="5">
        <v>0.84213523741</v>
      </c>
      <c r="BC10" s="5">
        <v>167621.575850861</v>
      </c>
      <c r="BD10">
        <f t="shared" si="7"/>
        <v>-1.00157431001704E-10</v>
      </c>
      <c r="BF10" s="5">
        <v>6E-11</v>
      </c>
      <c r="BG10" s="5">
        <v>5.40160929468</v>
      </c>
      <c r="BH10" s="5">
        <v>1577.3435424478</v>
      </c>
      <c r="BI10">
        <f t="shared" si="8"/>
        <v>5.611416016976702E-11</v>
      </c>
      <c r="BK10" s="5"/>
      <c r="BL10" s="5"/>
      <c r="BM10" s="5"/>
      <c r="BP10" s="5">
        <v>3.2878E-06</v>
      </c>
      <c r="BQ10" s="5">
        <v>5.89983646482</v>
      </c>
      <c r="BR10" s="5">
        <v>5223.6939198022</v>
      </c>
      <c r="BS10">
        <f t="shared" si="9"/>
        <v>1.9654426009456486E-06</v>
      </c>
      <c r="BU10" s="5">
        <v>8.654E-08</v>
      </c>
      <c r="BV10" s="5">
        <v>1.42046854427</v>
      </c>
      <c r="BW10" s="5">
        <v>6275.9623029906</v>
      </c>
      <c r="BX10">
        <f t="shared" si="10"/>
        <v>-8.642034768788667E-08</v>
      </c>
      <c r="BZ10" s="5">
        <v>1.102E-08</v>
      </c>
      <c r="CA10" s="5">
        <v>2.84173992403</v>
      </c>
      <c r="CB10" s="5">
        <v>161000.685737674</v>
      </c>
      <c r="CC10">
        <f t="shared" si="11"/>
        <v>8.610839216850625E-09</v>
      </c>
      <c r="CE10" s="5">
        <v>1.4E-10</v>
      </c>
      <c r="CF10" s="5">
        <v>3.62127621114</v>
      </c>
      <c r="CG10" s="5">
        <v>25132.3033999656</v>
      </c>
      <c r="CH10">
        <f t="shared" si="12"/>
        <v>-4.8105671362892165E-11</v>
      </c>
      <c r="CJ10" s="5">
        <v>3E-11</v>
      </c>
      <c r="CK10" s="5">
        <v>1.28175749811</v>
      </c>
      <c r="CL10" s="5">
        <v>6286.5989683404</v>
      </c>
      <c r="CM10">
        <f t="shared" si="13"/>
        <v>-2.9944771487054003E-11</v>
      </c>
      <c r="CO10" s="5"/>
      <c r="CP10" s="5"/>
      <c r="CQ10" s="5"/>
    </row>
    <row r="11" spans="10:86" ht="12.75">
      <c r="J11" t="s">
        <v>98</v>
      </c>
      <c r="K11">
        <f>10583.6+K10*(-1014.41+K10*(33.78311+K10*(-5.952053+K10*(-0.1798452+K10*(0.022174192+0.0090316521*K10)))))</f>
        <v>598697.1013839786</v>
      </c>
      <c r="L11">
        <f>K11*L9</f>
        <v>0</v>
      </c>
      <c r="M11" s="5">
        <v>9.01855E-06</v>
      </c>
      <c r="N11" s="5">
        <v>2.04505443513</v>
      </c>
      <c r="O11" s="5">
        <v>26.2983197998</v>
      </c>
      <c r="P11">
        <f t="shared" si="0"/>
        <v>-6.451848117716954E-06</v>
      </c>
      <c r="R11" s="5">
        <v>5.9027E-07</v>
      </c>
      <c r="S11" s="5">
        <v>2.8879703846</v>
      </c>
      <c r="T11" s="5">
        <v>5223.6939198022</v>
      </c>
      <c r="U11">
        <f t="shared" si="1"/>
        <v>-2.886846538881421E-07</v>
      </c>
      <c r="W11" s="5">
        <v>4.061E-08</v>
      </c>
      <c r="X11" s="5">
        <v>1.03057162962</v>
      </c>
      <c r="Y11" s="5">
        <v>7.1135470008</v>
      </c>
      <c r="Z11">
        <f t="shared" si="2"/>
        <v>1.7768922907264514E-08</v>
      </c>
      <c r="AB11" s="5">
        <v>3.6E-10</v>
      </c>
      <c r="AC11" s="5">
        <v>5.24029648014</v>
      </c>
      <c r="AD11" s="5">
        <v>6438.4962494256</v>
      </c>
      <c r="AE11">
        <f t="shared" si="3"/>
        <v>-3.1239959579761447E-10</v>
      </c>
      <c r="AG11" s="5">
        <v>2E-11</v>
      </c>
      <c r="AH11" s="5">
        <v>0.54912904658</v>
      </c>
      <c r="AI11" s="5">
        <v>6438.4962494256</v>
      </c>
      <c r="AJ11">
        <f t="shared" si="4"/>
        <v>-9.568566443380168E-12</v>
      </c>
      <c r="AQ11" s="5">
        <v>1.1246E-07</v>
      </c>
      <c r="AR11" s="5">
        <v>4.8282069053</v>
      </c>
      <c r="AS11" s="5">
        <v>14143.4952424306</v>
      </c>
      <c r="AT11">
        <f t="shared" si="5"/>
        <v>-9.497656951680989E-08</v>
      </c>
      <c r="AV11" s="5">
        <v>9.82E-09</v>
      </c>
      <c r="AW11" s="5">
        <v>0.09005453285</v>
      </c>
      <c r="AX11" s="5">
        <v>14143.4952424306</v>
      </c>
      <c r="AY11">
        <f t="shared" si="6"/>
        <v>-5.470487049045488E-09</v>
      </c>
      <c r="BA11" s="5">
        <v>5.2E-10</v>
      </c>
      <c r="BB11" s="5">
        <v>1.70501566089</v>
      </c>
      <c r="BC11" s="5">
        <v>14143.4952424306</v>
      </c>
      <c r="BD11">
        <f t="shared" si="7"/>
        <v>4.4420835422870565E-10</v>
      </c>
      <c r="BF11" s="5">
        <v>7E-11</v>
      </c>
      <c r="BG11" s="5">
        <v>2.73399865247</v>
      </c>
      <c r="BH11" s="5">
        <v>6309.3741697912</v>
      </c>
      <c r="BI11">
        <f t="shared" si="8"/>
        <v>7.018207389173664E-12</v>
      </c>
      <c r="BP11" s="5">
        <v>3.45983E-06</v>
      </c>
      <c r="BQ11" s="5">
        <v>0.96368617687</v>
      </c>
      <c r="BR11" s="5">
        <v>5507.5532386674</v>
      </c>
      <c r="BS11">
        <f t="shared" si="9"/>
        <v>3.0018067814719394E-06</v>
      </c>
      <c r="BU11" s="5">
        <v>5.069E-08</v>
      </c>
      <c r="BV11" s="5">
        <v>1.68613426734</v>
      </c>
      <c r="BW11" s="5">
        <v>5088.6288397668</v>
      </c>
      <c r="BX11">
        <f t="shared" si="10"/>
        <v>1.1547496247526539E-08</v>
      </c>
      <c r="BZ11" s="5">
        <v>6.48E-09</v>
      </c>
      <c r="CA11" s="5">
        <v>5.47349498544</v>
      </c>
      <c r="CB11" s="5">
        <v>775.522611324</v>
      </c>
      <c r="CC11">
        <f t="shared" si="11"/>
        <v>-4.908667374650657E-09</v>
      </c>
      <c r="CE11" s="5">
        <v>1.1E-10</v>
      </c>
      <c r="CF11" s="5">
        <v>4.39200958819</v>
      </c>
      <c r="CG11" s="5">
        <v>4705.7323075436</v>
      </c>
      <c r="CH11">
        <f t="shared" si="12"/>
        <v>8.72355351864449E-11</v>
      </c>
    </row>
    <row r="12" spans="1:86" ht="12.75">
      <c r="A12" t="s">
        <v>10</v>
      </c>
      <c r="B12" t="s">
        <v>0</v>
      </c>
      <c r="C12" t="s">
        <v>1</v>
      </c>
      <c r="D12" t="s">
        <v>11</v>
      </c>
      <c r="E12" t="s">
        <v>12</v>
      </c>
      <c r="F12" s="6" t="s">
        <v>14</v>
      </c>
      <c r="M12" s="5">
        <v>1.199167E-05</v>
      </c>
      <c r="N12" s="5">
        <v>1.10962944315</v>
      </c>
      <c r="O12" s="5">
        <v>1577.3435424478</v>
      </c>
      <c r="P12">
        <f t="shared" si="0"/>
        <v>-7.015664458164415E-07</v>
      </c>
      <c r="R12" s="5">
        <v>5.5976E-07</v>
      </c>
      <c r="S12" s="5">
        <v>2.17471680261</v>
      </c>
      <c r="T12" s="5">
        <v>155.4203994342</v>
      </c>
      <c r="U12">
        <f t="shared" si="1"/>
        <v>-3.2939994221667767E-07</v>
      </c>
      <c r="W12" s="5">
        <v>3.463E-08</v>
      </c>
      <c r="X12" s="5">
        <v>5.14074632811</v>
      </c>
      <c r="Y12" s="5">
        <v>796.2980068164</v>
      </c>
      <c r="Z12">
        <f t="shared" si="2"/>
        <v>-2.4400251767332954E-08</v>
      </c>
      <c r="AB12" s="5">
        <v>2.4E-10</v>
      </c>
      <c r="AC12" s="5">
        <v>5.16003960716</v>
      </c>
      <c r="AD12" s="5">
        <v>25132.3033999656</v>
      </c>
      <c r="AE12">
        <f t="shared" si="3"/>
        <v>2.2262998505912777E-10</v>
      </c>
      <c r="AQ12" s="5">
        <v>1.09E-07</v>
      </c>
      <c r="AR12" s="5">
        <v>2.08574562327</v>
      </c>
      <c r="AS12" s="5">
        <v>6812.766815086</v>
      </c>
      <c r="AT12">
        <f t="shared" si="5"/>
        <v>-6.592306247402922E-08</v>
      </c>
      <c r="AV12" s="5">
        <v>8.65E-09</v>
      </c>
      <c r="AW12" s="5">
        <v>1.73949953555</v>
      </c>
      <c r="AX12" s="5">
        <v>3930.2096962196</v>
      </c>
      <c r="AY12">
        <f t="shared" si="6"/>
        <v>8.34963732998562E-09</v>
      </c>
      <c r="BA12" s="5">
        <v>5.7E-10</v>
      </c>
      <c r="BB12" s="5">
        <v>6.15295833679</v>
      </c>
      <c r="BC12" s="5">
        <v>12194.0329146209</v>
      </c>
      <c r="BD12">
        <f t="shared" si="7"/>
        <v>2.1292805948824365E-10</v>
      </c>
      <c r="BP12" s="5">
        <v>3.06784E-06</v>
      </c>
      <c r="BQ12" s="5">
        <v>0.29867139512</v>
      </c>
      <c r="BR12" s="5">
        <v>5573.1428014331</v>
      </c>
      <c r="BS12">
        <f t="shared" si="9"/>
        <v>2.848990464662993E-06</v>
      </c>
      <c r="BU12" s="5">
        <v>4.985E-08</v>
      </c>
      <c r="BV12" s="5">
        <v>6.01401770704</v>
      </c>
      <c r="BW12" s="5">
        <v>6286.5989683404</v>
      </c>
      <c r="BX12">
        <f t="shared" si="10"/>
        <v>2.0341502145723223E-09</v>
      </c>
      <c r="BZ12" s="5">
        <v>6.09E-09</v>
      </c>
      <c r="CA12" s="5">
        <v>1.37969434104</v>
      </c>
      <c r="CB12" s="5">
        <v>6438.4962494256</v>
      </c>
      <c r="CC12">
        <f t="shared" si="11"/>
        <v>1.9832208428461595E-09</v>
      </c>
      <c r="CE12" s="5">
        <v>1.1E-10</v>
      </c>
      <c r="CF12" s="5">
        <v>5.22327127059</v>
      </c>
      <c r="CG12" s="5">
        <v>6040.3472460174</v>
      </c>
      <c r="CH12">
        <f t="shared" si="12"/>
        <v>-7.202324838836974E-11</v>
      </c>
    </row>
    <row r="13" spans="1:86" ht="12.75">
      <c r="A13">
        <f>C2+(D2*3600+E2*60+F2)/86400</f>
        <v>12.649270833333333</v>
      </c>
      <c r="B13">
        <f>IF(B2&gt;2.5,A2,A2-1)</f>
        <v>2012</v>
      </c>
      <c r="C13">
        <f>IF(B2&gt;2.5,B2,B2+12)</f>
        <v>4</v>
      </c>
      <c r="D13">
        <f>INT(B13/100)</f>
        <v>20</v>
      </c>
      <c r="E13">
        <f>2-D13+INT(D13/4)</f>
        <v>-13</v>
      </c>
      <c r="F13">
        <f>INT(365.25*(B13+4716))+INT(30.6001*(C13+1))+A13+E13-1524.5</f>
        <v>2456030.1492708335</v>
      </c>
      <c r="J13" t="s">
        <v>118</v>
      </c>
      <c r="K13" t="s">
        <v>102</v>
      </c>
      <c r="L13" t="b">
        <f>AND(500&lt;A2,A2&lt;=1600)</f>
        <v>0</v>
      </c>
      <c r="M13" s="5">
        <v>8.57223E-06</v>
      </c>
      <c r="N13" s="5">
        <v>3.50849156957</v>
      </c>
      <c r="O13" s="5">
        <v>398.1490034082</v>
      </c>
      <c r="P13">
        <f t="shared" si="0"/>
        <v>-4.434091376536566E-06</v>
      </c>
      <c r="R13" s="5">
        <v>4.5407E-07</v>
      </c>
      <c r="S13" s="5">
        <v>0.39803079805</v>
      </c>
      <c r="T13" s="5">
        <v>796.2980068164</v>
      </c>
      <c r="U13">
        <f t="shared" si="1"/>
        <v>-3.317637556076813E-07</v>
      </c>
      <c r="W13" s="5">
        <v>3.169E-08</v>
      </c>
      <c r="X13" s="5">
        <v>6.05291851171</v>
      </c>
      <c r="Y13" s="5">
        <v>5507.5532386674</v>
      </c>
      <c r="Z13">
        <f t="shared" si="2"/>
        <v>-4.533922177770878E-09</v>
      </c>
      <c r="AB13" s="5">
        <v>2.3E-10</v>
      </c>
      <c r="AC13" s="5">
        <v>3.01921570335</v>
      </c>
      <c r="AD13" s="5">
        <v>6309.3741697912</v>
      </c>
      <c r="AE13">
        <f t="shared" si="3"/>
        <v>8.651626398683548E-11</v>
      </c>
      <c r="AQ13" s="5">
        <v>9.714E-08</v>
      </c>
      <c r="AR13" s="5">
        <v>3.47303947752</v>
      </c>
      <c r="AS13" s="5">
        <v>4694.0029547076</v>
      </c>
      <c r="AT13">
        <f t="shared" si="5"/>
        <v>-1.42476620491358E-08</v>
      </c>
      <c r="AV13" s="5">
        <v>5.81E-09</v>
      </c>
      <c r="AW13" s="5">
        <v>2.26949174067</v>
      </c>
      <c r="AX13" s="5">
        <v>5884.9268465832</v>
      </c>
      <c r="AY13">
        <f t="shared" si="6"/>
        <v>3.774066886817039E-09</v>
      </c>
      <c r="BA13" s="5">
        <v>5.1E-10</v>
      </c>
      <c r="BB13" s="5">
        <v>1.2761601674</v>
      </c>
      <c r="BC13" s="5">
        <v>5753.3848848968</v>
      </c>
      <c r="BD13">
        <f t="shared" si="7"/>
        <v>-4.823502505808613E-10</v>
      </c>
      <c r="BP13" s="5">
        <v>1.74844E-06</v>
      </c>
      <c r="BQ13" s="5">
        <v>3.01193636534</v>
      </c>
      <c r="BR13" s="5">
        <v>18849.2275499742</v>
      </c>
      <c r="BS13">
        <f t="shared" si="9"/>
        <v>-7.218865651114936E-07</v>
      </c>
      <c r="BU13" s="5">
        <v>4.669E-08</v>
      </c>
      <c r="BV13" s="5">
        <v>5.98724494073</v>
      </c>
      <c r="BW13" s="5">
        <v>529.6909650946</v>
      </c>
      <c r="BX13">
        <f t="shared" si="10"/>
        <v>4.655981228742209E-08</v>
      </c>
      <c r="BZ13" s="5">
        <v>4.99E-09</v>
      </c>
      <c r="CA13" s="5">
        <v>4.4164924225</v>
      </c>
      <c r="CB13" s="5">
        <v>6286.5989683404</v>
      </c>
      <c r="CC13">
        <f t="shared" si="11"/>
        <v>4.978621081751401E-09</v>
      </c>
      <c r="CE13" s="5">
        <v>1E-10</v>
      </c>
      <c r="CF13" s="5">
        <v>4.28045254647</v>
      </c>
      <c r="CG13" s="5">
        <v>83996.8473181118</v>
      </c>
      <c r="CH13">
        <f t="shared" si="12"/>
        <v>5.475004798530991E-11</v>
      </c>
    </row>
    <row r="14" spans="10:86" ht="12.75">
      <c r="J14" t="s">
        <v>97</v>
      </c>
      <c r="K14">
        <f>(K3-1000)/100</f>
        <v>10.122916666666667</v>
      </c>
      <c r="M14" s="5">
        <v>7.79786E-06</v>
      </c>
      <c r="N14" s="5">
        <v>1.17882652114</v>
      </c>
      <c r="O14" s="5">
        <v>5223.6939198022</v>
      </c>
      <c r="P14">
        <f t="shared" si="0"/>
        <v>-6.2107063322796405E-06</v>
      </c>
      <c r="R14" s="5">
        <v>3.6369E-07</v>
      </c>
      <c r="S14" s="5">
        <v>0.46624739835</v>
      </c>
      <c r="T14" s="5">
        <v>775.522611324</v>
      </c>
      <c r="U14">
        <f t="shared" si="1"/>
        <v>-3.072399827537873E-07</v>
      </c>
      <c r="W14" s="5">
        <v>3.02E-08</v>
      </c>
      <c r="X14" s="5">
        <v>1.19246506441</v>
      </c>
      <c r="Y14" s="5">
        <v>242.728603974</v>
      </c>
      <c r="Z14">
        <f t="shared" si="2"/>
        <v>-1.550867710152576E-08</v>
      </c>
      <c r="AB14" s="5">
        <v>1.7E-10</v>
      </c>
      <c r="AC14" s="5">
        <v>5.82863573502</v>
      </c>
      <c r="AD14" s="5">
        <v>6525.8044539654</v>
      </c>
      <c r="AE14">
        <f t="shared" si="3"/>
        <v>-7.093394511086966E-11</v>
      </c>
      <c r="AQ14" s="5">
        <v>1.0367E-07</v>
      </c>
      <c r="AR14" s="5">
        <v>4.05663927946</v>
      </c>
      <c r="AS14" s="5">
        <v>71092.8813549326</v>
      </c>
      <c r="AT14">
        <f t="shared" si="5"/>
        <v>-8.840691326495314E-08</v>
      </c>
      <c r="AV14" s="5">
        <v>5.24E-09</v>
      </c>
      <c r="AW14" s="5">
        <v>5.65662503159</v>
      </c>
      <c r="AX14" s="5">
        <v>529.6909650946</v>
      </c>
      <c r="AY14">
        <f t="shared" si="6"/>
        <v>4.815447033629444E-09</v>
      </c>
      <c r="BA14" s="5">
        <v>5.1E-10</v>
      </c>
      <c r="BB14" s="5">
        <v>5.37229738682</v>
      </c>
      <c r="BC14" s="5">
        <v>6812.766815086</v>
      </c>
      <c r="BD14">
        <f t="shared" si="7"/>
        <v>2.4654270819811813E-10</v>
      </c>
      <c r="BP14" s="5">
        <v>2.43189E-06</v>
      </c>
      <c r="BQ14" s="5">
        <v>4.27349536153</v>
      </c>
      <c r="BR14" s="5">
        <v>11790.6290886588</v>
      </c>
      <c r="BS14">
        <f t="shared" si="9"/>
        <v>-4.0448614728800834E-07</v>
      </c>
      <c r="BU14" s="5">
        <v>4.395E-08</v>
      </c>
      <c r="BV14" s="5">
        <v>0.51800238019</v>
      </c>
      <c r="BW14" s="5">
        <v>4694.0029547076</v>
      </c>
      <c r="BX14">
        <f t="shared" si="10"/>
        <v>-1.729122260043277E-09</v>
      </c>
      <c r="BZ14" s="5">
        <v>4.17E-09</v>
      </c>
      <c r="CA14" s="5">
        <v>0.90242451175</v>
      </c>
      <c r="CB14" s="5">
        <v>10977.078804699</v>
      </c>
      <c r="CC14">
        <f t="shared" si="11"/>
        <v>-3.4206453444459706E-09</v>
      </c>
      <c r="CE14" s="5">
        <v>9E-11</v>
      </c>
      <c r="CF14" s="5">
        <v>1.56864096494</v>
      </c>
      <c r="CG14" s="5">
        <v>5507.5532386674</v>
      </c>
      <c r="CH14">
        <f t="shared" si="12"/>
        <v>8.967851732373924E-11</v>
      </c>
    </row>
    <row r="15" spans="2:86" ht="12.75">
      <c r="B15" s="6" t="s">
        <v>15</v>
      </c>
      <c r="C15" t="s">
        <v>16</v>
      </c>
      <c r="D15" s="6" t="s">
        <v>13</v>
      </c>
      <c r="E15" s="6" t="s">
        <v>17</v>
      </c>
      <c r="F15" s="6" t="s">
        <v>18</v>
      </c>
      <c r="J15" t="s">
        <v>98</v>
      </c>
      <c r="K15">
        <f>1574.2+K14*(-556.01+K14*(71.23472+K14*(0.319781+K14*(-0.8503463+K14*(-0.005050998+0.0083572073*K14)))))</f>
        <v>3103.710126058888</v>
      </c>
      <c r="L15">
        <f>K15*L13</f>
        <v>0</v>
      </c>
      <c r="M15" s="5">
        <v>9.9025E-06</v>
      </c>
      <c r="N15" s="5">
        <v>5.23268129594</v>
      </c>
      <c r="O15" s="5">
        <v>5884.9268465832</v>
      </c>
      <c r="P15">
        <f t="shared" si="0"/>
        <v>-4.994337377403376E-06</v>
      </c>
      <c r="R15" s="5">
        <v>2.8958E-07</v>
      </c>
      <c r="S15" s="5">
        <v>2.64707383882</v>
      </c>
      <c r="T15" s="5">
        <v>7.1135470008</v>
      </c>
      <c r="U15">
        <f t="shared" si="1"/>
        <v>-2.659058165188649E-07</v>
      </c>
      <c r="W15" s="5">
        <v>2.886E-08</v>
      </c>
      <c r="X15" s="5">
        <v>6.11652627155</v>
      </c>
      <c r="Y15" s="5">
        <v>529.6909650946</v>
      </c>
      <c r="Z15">
        <f t="shared" si="2"/>
        <v>2.8817013393990768E-08</v>
      </c>
      <c r="AB15" s="5">
        <v>1.7E-10</v>
      </c>
      <c r="AC15" s="5">
        <v>3.6777286393</v>
      </c>
      <c r="AD15" s="5">
        <v>71430.695618129</v>
      </c>
      <c r="AE15">
        <f t="shared" si="3"/>
        <v>6.518600502386108E-11</v>
      </c>
      <c r="AQ15" s="5">
        <v>8.775E-08</v>
      </c>
      <c r="AR15" s="5">
        <v>4.44016515669</v>
      </c>
      <c r="AS15" s="5">
        <v>5753.3848848968</v>
      </c>
      <c r="AT15">
        <f t="shared" si="5"/>
        <v>8.361048645597678E-08</v>
      </c>
      <c r="AV15" s="5">
        <v>4.73E-09</v>
      </c>
      <c r="AW15" s="5">
        <v>6.22750969242</v>
      </c>
      <c r="AX15" s="5">
        <v>6309.3741697912</v>
      </c>
      <c r="AY15">
        <f t="shared" si="6"/>
        <v>-2.0673784083485927E-09</v>
      </c>
      <c r="BA15" s="5">
        <v>3.4E-10</v>
      </c>
      <c r="BB15" s="5">
        <v>1.73672994279</v>
      </c>
      <c r="BC15" s="5">
        <v>7058.5984613154</v>
      </c>
      <c r="BD15">
        <f t="shared" si="7"/>
        <v>3.0623969457528696E-10</v>
      </c>
      <c r="BP15" s="5">
        <v>2.11829E-06</v>
      </c>
      <c r="BQ15" s="5">
        <v>5.84714540314</v>
      </c>
      <c r="BR15" s="5">
        <v>1577.3435424478</v>
      </c>
      <c r="BS15">
        <f t="shared" si="9"/>
        <v>2.1108805061378E-06</v>
      </c>
      <c r="BU15" s="5">
        <v>3.872E-08</v>
      </c>
      <c r="BV15" s="5">
        <v>4.74969833437</v>
      </c>
      <c r="BW15" s="5">
        <v>2544.3144198834</v>
      </c>
      <c r="BX15">
        <f t="shared" si="10"/>
        <v>-5.221758822174023E-09</v>
      </c>
      <c r="BZ15" s="5">
        <v>4.02E-09</v>
      </c>
      <c r="CA15" s="5">
        <v>3.2037658529</v>
      </c>
      <c r="CB15" s="5">
        <v>5088.6288397668</v>
      </c>
      <c r="CC15">
        <f t="shared" si="11"/>
        <v>-3.860105219014193E-09</v>
      </c>
      <c r="CE15" s="5">
        <v>1.1E-10</v>
      </c>
      <c r="CF15" s="5">
        <v>1.37795688024</v>
      </c>
      <c r="CG15" s="5">
        <v>6309.3741697912</v>
      </c>
      <c r="CH15">
        <f t="shared" si="12"/>
        <v>-1.0458134985168629E-10</v>
      </c>
    </row>
    <row r="16" spans="2:86" ht="12.75">
      <c r="B16">
        <f>L7+L11+L15+L19+L23+L27+L31+L35+L39+L43+L47+L51+L55+L58</f>
        <v>67.72442070312503</v>
      </c>
      <c r="C16">
        <f>C2+(D2*3600+E2*60+(F2+B16))/86400</f>
        <v>12.650054680795176</v>
      </c>
      <c r="D16">
        <f>INT(365.25*(B13+4716))+INT(30.6001*(C13+1))+C16+E13-1524.5</f>
        <v>2456030.1500546806</v>
      </c>
      <c r="E16">
        <f>(D16-2451545)/365250</f>
        <v>0.012279671607613002</v>
      </c>
      <c r="F16">
        <f>10*E16</f>
        <v>0.12279671607613002</v>
      </c>
      <c r="M16" s="5">
        <v>7.53141E-06</v>
      </c>
      <c r="N16" s="5">
        <v>2.53339053818</v>
      </c>
      <c r="O16" s="5">
        <v>5507.5532386674</v>
      </c>
      <c r="P16">
        <f t="shared" si="0"/>
        <v>3.752001378666126E-06</v>
      </c>
      <c r="R16" s="5">
        <v>1.9097E-07</v>
      </c>
      <c r="S16" s="5">
        <v>1.84628332577</v>
      </c>
      <c r="T16" s="5">
        <v>5486.777843175</v>
      </c>
      <c r="U16">
        <f t="shared" si="1"/>
        <v>1.898763037861336E-07</v>
      </c>
      <c r="W16" s="5">
        <v>3.81E-08</v>
      </c>
      <c r="X16" s="5">
        <v>3.4405080349</v>
      </c>
      <c r="Y16" s="5">
        <v>5573.1428014331</v>
      </c>
      <c r="Z16">
        <f t="shared" si="2"/>
        <v>-3.5385519313591653E-08</v>
      </c>
      <c r="AB16" s="5">
        <v>9E-11</v>
      </c>
      <c r="AC16" s="5">
        <v>4.58467294499</v>
      </c>
      <c r="AD16" s="5">
        <v>1577.3435424478</v>
      </c>
      <c r="AE16">
        <f t="shared" si="3"/>
        <v>3.438243730460336E-11</v>
      </c>
      <c r="AQ16" s="5">
        <v>8.366E-08</v>
      </c>
      <c r="AR16" s="5">
        <v>4.9925151218</v>
      </c>
      <c r="AS16" s="5">
        <v>7084.8967811152</v>
      </c>
      <c r="AT16">
        <f t="shared" si="5"/>
        <v>-5.288161656745482E-08</v>
      </c>
      <c r="AV16" s="5">
        <v>4.51E-09</v>
      </c>
      <c r="AW16" s="5">
        <v>1.53288619213</v>
      </c>
      <c r="AX16" s="5">
        <v>18073.7049386502</v>
      </c>
      <c r="AY16">
        <f t="shared" si="6"/>
        <v>-4.119924634465488E-09</v>
      </c>
      <c r="BA16" s="5">
        <v>3.8E-10</v>
      </c>
      <c r="BB16" s="5">
        <v>2.77761031485</v>
      </c>
      <c r="BC16" s="5">
        <v>10988.808157535</v>
      </c>
      <c r="BD16">
        <f t="shared" si="7"/>
        <v>3.3098957071662897E-10</v>
      </c>
      <c r="BP16" s="5">
        <v>1.85752E-06</v>
      </c>
      <c r="BQ16" s="5">
        <v>5.02194447178</v>
      </c>
      <c r="BR16" s="5">
        <v>10977.078804699</v>
      </c>
      <c r="BS16">
        <f t="shared" si="9"/>
        <v>-2.9708501892810867E-08</v>
      </c>
      <c r="BU16" s="5">
        <v>3.75E-08</v>
      </c>
      <c r="BV16" s="5">
        <v>5.07097685568</v>
      </c>
      <c r="BW16" s="5">
        <v>796.2980068164</v>
      </c>
      <c r="BX16">
        <f t="shared" si="10"/>
        <v>-2.4503091118337825E-08</v>
      </c>
      <c r="BZ16" s="5">
        <v>3.51E-09</v>
      </c>
      <c r="CA16" s="5">
        <v>1.8107922777</v>
      </c>
      <c r="CB16" s="5">
        <v>5486.777843175</v>
      </c>
      <c r="CC16">
        <f t="shared" si="11"/>
        <v>3.5010107481959604E-09</v>
      </c>
      <c r="CE16" s="5">
        <v>1E-10</v>
      </c>
      <c r="CF16" s="5">
        <v>5.19937959068</v>
      </c>
      <c r="CG16" s="5">
        <v>71430.695618129</v>
      </c>
      <c r="CH16">
        <f t="shared" si="12"/>
        <v>-9.036106783429673E-11</v>
      </c>
    </row>
    <row r="17" spans="10:86" ht="12.75">
      <c r="J17" t="s">
        <v>119</v>
      </c>
      <c r="K17" t="s">
        <v>103</v>
      </c>
      <c r="L17" t="b">
        <f>AND(1600&lt;A2,A2&lt;=1700)</f>
        <v>0</v>
      </c>
      <c r="M17" s="5">
        <v>5.05264E-06</v>
      </c>
      <c r="N17" s="5">
        <v>4.58292563052</v>
      </c>
      <c r="O17" s="5">
        <v>18849.2275499742</v>
      </c>
      <c r="P17">
        <f t="shared" si="0"/>
        <v>-4.60148057434286E-06</v>
      </c>
      <c r="R17" s="5">
        <v>2.0844E-07</v>
      </c>
      <c r="S17" s="5">
        <v>5.34138275149</v>
      </c>
      <c r="T17" s="5">
        <v>0.9803210682</v>
      </c>
      <c r="U17">
        <f t="shared" si="1"/>
        <v>1.2465185559637268E-07</v>
      </c>
      <c r="W17" s="5">
        <v>2.714E-08</v>
      </c>
      <c r="X17" s="5">
        <v>0.30637881025</v>
      </c>
      <c r="Y17" s="5">
        <v>398.1490034082</v>
      </c>
      <c r="Z17">
        <f t="shared" si="2"/>
        <v>1.2607946116359661E-08</v>
      </c>
      <c r="AB17" s="5">
        <v>8E-11</v>
      </c>
      <c r="AC17" s="5">
        <v>1.40626662824</v>
      </c>
      <c r="AD17" s="5">
        <v>11856.2186514245</v>
      </c>
      <c r="AE17">
        <f t="shared" si="3"/>
        <v>-6.329164870964342E-11</v>
      </c>
      <c r="AQ17" s="5">
        <v>6.921E-08</v>
      </c>
      <c r="AR17" s="5">
        <v>4.32559054073</v>
      </c>
      <c r="AS17" s="5">
        <v>6275.9623029906</v>
      </c>
      <c r="AT17">
        <f t="shared" si="5"/>
        <v>6.633858626525577E-08</v>
      </c>
      <c r="AV17" s="5">
        <v>3.64E-09</v>
      </c>
      <c r="AW17" s="5">
        <v>3.61614477374</v>
      </c>
      <c r="AX17" s="5">
        <v>13367.9726311066</v>
      </c>
      <c r="AY17">
        <f t="shared" si="6"/>
        <v>-1.0921929553108871E-09</v>
      </c>
      <c r="BA17" s="5">
        <v>4.6E-10</v>
      </c>
      <c r="BB17" s="5">
        <v>3.38617099014</v>
      </c>
      <c r="BC17" s="5">
        <v>156475.290247995</v>
      </c>
      <c r="BD17">
        <f t="shared" si="7"/>
        <v>-2.694615923386314E-10</v>
      </c>
      <c r="BP17" s="5">
        <v>1.09835E-06</v>
      </c>
      <c r="BQ17" s="5">
        <v>5.05510636285</v>
      </c>
      <c r="BR17" s="5">
        <v>5486.777843175</v>
      </c>
      <c r="BS17">
        <f t="shared" si="9"/>
        <v>-1.0817069571926173E-06</v>
      </c>
      <c r="BU17" s="5">
        <v>4.1E-08</v>
      </c>
      <c r="BV17" s="5">
        <v>1.08424786092</v>
      </c>
      <c r="BW17" s="5">
        <v>9437.762934887</v>
      </c>
      <c r="BX17">
        <f t="shared" si="10"/>
        <v>-3.0333842413901433E-08</v>
      </c>
      <c r="BZ17" s="5">
        <v>4.67E-09</v>
      </c>
      <c r="CA17" s="5">
        <v>3.65753702738</v>
      </c>
      <c r="CB17" s="5">
        <v>7084.8967811152</v>
      </c>
      <c r="CC17">
        <f t="shared" si="11"/>
        <v>-4.208243398331601E-09</v>
      </c>
      <c r="CE17" s="5">
        <v>9E-11</v>
      </c>
      <c r="CF17" s="5">
        <v>0.4727519993</v>
      </c>
      <c r="CG17" s="5">
        <v>6279.5527316424</v>
      </c>
      <c r="CH17">
        <f t="shared" si="12"/>
        <v>-5.189519526790482E-11</v>
      </c>
    </row>
    <row r="18" spans="1:86" ht="12.75">
      <c r="A18" s="6" t="s">
        <v>24</v>
      </c>
      <c r="B18" t="s">
        <v>19</v>
      </c>
      <c r="C18" t="s">
        <v>20</v>
      </c>
      <c r="D18" t="s">
        <v>21</v>
      </c>
      <c r="E18" t="s">
        <v>22</v>
      </c>
      <c r="F18" s="6" t="s">
        <v>23</v>
      </c>
      <c r="J18" t="s">
        <v>104</v>
      </c>
      <c r="K18">
        <f>K3-1600</f>
        <v>412.29166666666674</v>
      </c>
      <c r="M18" s="5">
        <v>4.92379E-06</v>
      </c>
      <c r="N18" s="5">
        <v>4.20506639861</v>
      </c>
      <c r="O18" s="5">
        <v>775.522611324</v>
      </c>
      <c r="P18">
        <f t="shared" si="0"/>
        <v>1.957869805214605E-06</v>
      </c>
      <c r="R18" s="5">
        <v>1.8508E-07</v>
      </c>
      <c r="S18" s="5">
        <v>4.96855124577</v>
      </c>
      <c r="T18" s="5">
        <v>213.299095438</v>
      </c>
      <c r="U18">
        <f t="shared" si="1"/>
        <v>4.868625106780813E-08</v>
      </c>
      <c r="W18" s="5">
        <v>2.371E-08</v>
      </c>
      <c r="X18" s="5">
        <v>4.38118838167</v>
      </c>
      <c r="Y18" s="5">
        <v>5223.6939198022</v>
      </c>
      <c r="Z18">
        <f t="shared" si="2"/>
        <v>1.971999828208622E-08</v>
      </c>
      <c r="AB18" s="5">
        <v>8E-11</v>
      </c>
      <c r="AC18" s="5">
        <v>5.07561257196</v>
      </c>
      <c r="AD18" s="5">
        <v>6256.7775301916</v>
      </c>
      <c r="AE18">
        <f t="shared" si="3"/>
        <v>7.797679464956178E-11</v>
      </c>
      <c r="AQ18" s="5">
        <v>9.145E-08</v>
      </c>
      <c r="AR18" s="5">
        <v>1.14182646613</v>
      </c>
      <c r="AS18" s="5">
        <v>6620.8901131878</v>
      </c>
      <c r="AT18">
        <f t="shared" si="5"/>
        <v>6.611124301719216E-08</v>
      </c>
      <c r="AV18" s="5">
        <v>3.72E-09</v>
      </c>
      <c r="AW18" s="5">
        <v>3.2247072132</v>
      </c>
      <c r="AX18" s="5">
        <v>6275.9623029906</v>
      </c>
      <c r="AY18">
        <f t="shared" si="6"/>
        <v>6.691030613679068E-10</v>
      </c>
      <c r="BA18" s="5">
        <v>2.1E-10</v>
      </c>
      <c r="BB18" s="5">
        <v>1.95248349228</v>
      </c>
      <c r="BC18" s="5">
        <v>8827.3902698748</v>
      </c>
      <c r="BD18">
        <f t="shared" si="7"/>
        <v>-1.9389432536405904E-10</v>
      </c>
      <c r="BP18" s="5">
        <v>9.8316E-07</v>
      </c>
      <c r="BQ18" s="5">
        <v>0.88681311277</v>
      </c>
      <c r="BR18" s="5">
        <v>6069.7767545534</v>
      </c>
      <c r="BS18">
        <f t="shared" si="9"/>
        <v>9.82889582862968E-07</v>
      </c>
      <c r="BU18" s="5">
        <v>3.518E-08</v>
      </c>
      <c r="BV18" s="5">
        <v>0.02290216272</v>
      </c>
      <c r="BW18" s="5">
        <v>83996.8473181118</v>
      </c>
      <c r="BX18">
        <f t="shared" si="10"/>
        <v>1.7984105685928542E-08</v>
      </c>
      <c r="BZ18" s="5">
        <v>4.58E-09</v>
      </c>
      <c r="CA18" s="5">
        <v>5.38585314743</v>
      </c>
      <c r="CB18" s="5">
        <v>149854.400134807</v>
      </c>
      <c r="CC18">
        <f t="shared" si="11"/>
        <v>-6.255363606105182E-10</v>
      </c>
      <c r="CE18" s="5">
        <v>9E-11</v>
      </c>
      <c r="CF18" s="5">
        <v>0.74642756529</v>
      </c>
      <c r="CG18" s="5">
        <v>5729.506447149</v>
      </c>
      <c r="CH18">
        <f t="shared" si="12"/>
        <v>-3.6455897818797E-11</v>
      </c>
    </row>
    <row r="19" spans="1:86" ht="12.75">
      <c r="A19">
        <f>RADIANS(F19)</f>
        <v>7.370699481120301E-05</v>
      </c>
      <c r="B19">
        <f>RADIANS(280.4665+36000.7698*F16)</f>
        <v>82.05216592924236</v>
      </c>
      <c r="C19">
        <f>RADIANS(218.3165+481267.8813*F16)</f>
        <v>1035.267036780834</v>
      </c>
      <c r="D19">
        <f>RADIANS(125.04452-1934.136261*F16)</f>
        <v>-1.9628157998773106</v>
      </c>
      <c r="E19">
        <f>-17.2*SIN(D19)-1.32*SIN(2*B19)-0.23*SIN(2*C19)+0.21*SIN(2*D19)</f>
        <v>15.203159003788524</v>
      </c>
      <c r="F19">
        <f>E19/3600</f>
        <v>0.0042230997232745905</v>
      </c>
      <c r="J19" t="s">
        <v>98</v>
      </c>
      <c r="K19">
        <f>120+K18*(-0.9808+K18*(-0.01532+K18/7129))</f>
        <v>6942.176912198583</v>
      </c>
      <c r="L19">
        <f>K19*L17</f>
        <v>0</v>
      </c>
      <c r="M19" s="5">
        <v>3.56655E-06</v>
      </c>
      <c r="N19" s="5">
        <v>2.91954116867</v>
      </c>
      <c r="O19" s="5">
        <v>0.0673103028</v>
      </c>
      <c r="P19">
        <f t="shared" si="0"/>
        <v>-3.4796310359047715E-06</v>
      </c>
      <c r="R19" s="5">
        <v>1.6233E-07</v>
      </c>
      <c r="S19" s="5">
        <v>0.03216483047</v>
      </c>
      <c r="T19" s="5">
        <v>2544.3144198834</v>
      </c>
      <c r="U19">
        <f t="shared" si="1"/>
        <v>1.6073232181334667E-07</v>
      </c>
      <c r="W19" s="5">
        <v>2.538E-08</v>
      </c>
      <c r="X19" s="5">
        <v>2.27992810679</v>
      </c>
      <c r="Y19" s="5">
        <v>553.5694028424</v>
      </c>
      <c r="Z19">
        <f t="shared" si="2"/>
        <v>-2.3865559049277503E-08</v>
      </c>
      <c r="AB19" s="5">
        <v>7E-11</v>
      </c>
      <c r="AC19" s="5">
        <v>2.82473374405</v>
      </c>
      <c r="AD19" s="5">
        <v>83996.8473181118</v>
      </c>
      <c r="AE19">
        <f t="shared" si="3"/>
        <v>-5.378832276707319E-11</v>
      </c>
      <c r="AQ19" s="5">
        <v>7.194E-08</v>
      </c>
      <c r="AR19" s="5">
        <v>3.60193205752</v>
      </c>
      <c r="AS19" s="5">
        <v>529.6909650946</v>
      </c>
      <c r="AT19">
        <f t="shared" si="5"/>
        <v>-5.586680395138009E-08</v>
      </c>
      <c r="AV19" s="5">
        <v>2.68E-09</v>
      </c>
      <c r="AW19" s="5">
        <v>2.34341267879</v>
      </c>
      <c r="AX19" s="5">
        <v>11790.6290886588</v>
      </c>
      <c r="AY19">
        <f t="shared" si="6"/>
        <v>-2.31720044239828E-09</v>
      </c>
      <c r="BA19" s="5">
        <v>1.8E-10</v>
      </c>
      <c r="BB19" s="5">
        <v>3.33419222028</v>
      </c>
      <c r="BC19" s="5">
        <v>8429.2412664666</v>
      </c>
      <c r="BD19">
        <f t="shared" si="7"/>
        <v>1.799276358761932E-10</v>
      </c>
      <c r="BP19" s="5">
        <v>8.6499E-07</v>
      </c>
      <c r="BQ19" s="5">
        <v>5.68959778254</v>
      </c>
      <c r="BR19" s="5">
        <v>15720.8387848784</v>
      </c>
      <c r="BS19">
        <f t="shared" si="9"/>
        <v>-5.926406129006346E-07</v>
      </c>
      <c r="BU19" s="5">
        <v>3.436E-08</v>
      </c>
      <c r="BV19" s="5">
        <v>0.94937019624</v>
      </c>
      <c r="BW19" s="5">
        <v>71430.695618129</v>
      </c>
      <c r="BX19">
        <f t="shared" si="10"/>
        <v>6.771371943680239E-10</v>
      </c>
      <c r="BZ19" s="5">
        <v>3.04E-09</v>
      </c>
      <c r="CA19" s="5">
        <v>3.51701098693</v>
      </c>
      <c r="CB19" s="5">
        <v>796.2980068164</v>
      </c>
      <c r="CC19">
        <f t="shared" si="11"/>
        <v>2.2675215715844597E-09</v>
      </c>
      <c r="CE19" s="5">
        <v>7E-11</v>
      </c>
      <c r="CF19" s="5">
        <v>2.9737489156</v>
      </c>
      <c r="CG19" s="5">
        <v>775.522611324</v>
      </c>
      <c r="CH19">
        <f t="shared" si="12"/>
        <v>6.983120995588734E-11</v>
      </c>
    </row>
    <row r="20" spans="13:86" ht="12.75">
      <c r="M20" s="5">
        <v>2.84125E-06</v>
      </c>
      <c r="N20" s="5">
        <v>1.89869034186</v>
      </c>
      <c r="O20" s="5">
        <v>796.2980068164</v>
      </c>
      <c r="P20">
        <f t="shared" si="0"/>
        <v>1.7896363529511788E-06</v>
      </c>
      <c r="R20" s="5">
        <v>1.7293E-07</v>
      </c>
      <c r="S20" s="5">
        <v>2.99116864949</v>
      </c>
      <c r="T20" s="5">
        <v>6275.9623029906</v>
      </c>
      <c r="U20">
        <f t="shared" si="1"/>
        <v>-9.107106121709925E-09</v>
      </c>
      <c r="W20" s="5">
        <v>2.079E-08</v>
      </c>
      <c r="X20" s="5">
        <v>3.75435330484</v>
      </c>
      <c r="Y20" s="5">
        <v>0.9803210682</v>
      </c>
      <c r="Z20">
        <f t="shared" si="2"/>
        <v>-1.6862371900828524E-08</v>
      </c>
      <c r="AB20" s="5">
        <v>5E-11</v>
      </c>
      <c r="AC20" s="5">
        <v>2.71488713339</v>
      </c>
      <c r="AD20" s="5">
        <v>10977.078804699</v>
      </c>
      <c r="AE20">
        <f t="shared" si="3"/>
        <v>3.758149249055582E-11</v>
      </c>
      <c r="AQ20" s="5">
        <v>7.698E-08</v>
      </c>
      <c r="AR20" s="5">
        <v>5.55425745881</v>
      </c>
      <c r="AS20" s="5">
        <v>167621.575850861</v>
      </c>
      <c r="AT20">
        <f t="shared" si="5"/>
        <v>-7.628774412391859E-08</v>
      </c>
      <c r="AV20" s="5">
        <v>3.22E-09</v>
      </c>
      <c r="AW20" s="5">
        <v>0.94084045832</v>
      </c>
      <c r="AX20" s="5">
        <v>6069.7767545534</v>
      </c>
      <c r="AY20">
        <f t="shared" si="6"/>
        <v>3.210339251120156E-09</v>
      </c>
      <c r="BA20" s="5">
        <v>1.9E-10</v>
      </c>
      <c r="BB20" s="5">
        <v>4.32945160287</v>
      </c>
      <c r="BC20" s="5">
        <v>17789.845619785</v>
      </c>
      <c r="BD20">
        <f t="shared" si="7"/>
        <v>-1.8310812399534435E-10</v>
      </c>
      <c r="BP20" s="5">
        <v>8.5825E-07</v>
      </c>
      <c r="BQ20" s="5">
        <v>1.27083733351</v>
      </c>
      <c r="BR20" s="5">
        <v>161000.685737674</v>
      </c>
      <c r="BS20">
        <f t="shared" si="9"/>
        <v>5.355213035561272E-07</v>
      </c>
      <c r="BU20" s="5">
        <v>3.221E-08</v>
      </c>
      <c r="BV20" s="5">
        <v>6.15628775313</v>
      </c>
      <c r="BW20" s="5">
        <v>2146.1654164752</v>
      </c>
      <c r="BX20">
        <f t="shared" si="10"/>
        <v>1.476605183796155E-08</v>
      </c>
      <c r="BZ20" s="5">
        <v>2.66E-09</v>
      </c>
      <c r="CA20" s="5">
        <v>6.17413982699</v>
      </c>
      <c r="CB20" s="5">
        <v>6836.6452528338</v>
      </c>
      <c r="CC20">
        <f t="shared" si="11"/>
        <v>-1.48104252647263E-09</v>
      </c>
      <c r="CE20" s="5">
        <v>7E-11</v>
      </c>
      <c r="CF20" s="5">
        <v>3.28615691021</v>
      </c>
      <c r="CG20" s="5">
        <v>7058.5984613154</v>
      </c>
      <c r="CH20">
        <f t="shared" si="12"/>
        <v>-2.905602438150807E-11</v>
      </c>
    </row>
    <row r="21" spans="1:86" ht="12.75">
      <c r="A21" s="6" t="s">
        <v>66</v>
      </c>
      <c r="B21" t="s">
        <v>29</v>
      </c>
      <c r="C21" t="s">
        <v>27</v>
      </c>
      <c r="D21" s="6" t="s">
        <v>28</v>
      </c>
      <c r="E21" t="s">
        <v>25</v>
      </c>
      <c r="F21" s="6" t="s">
        <v>26</v>
      </c>
      <c r="J21" t="s">
        <v>120</v>
      </c>
      <c r="K21" t="s">
        <v>105</v>
      </c>
      <c r="L21" t="b">
        <f>AND(1700&lt;A2,A2&lt;=1800)</f>
        <v>0</v>
      </c>
      <c r="M21" s="5">
        <v>2.4281E-06</v>
      </c>
      <c r="N21" s="5">
        <v>0.34481140906</v>
      </c>
      <c r="O21" s="5">
        <v>5486.777843175</v>
      </c>
      <c r="P21">
        <f t="shared" si="0"/>
        <v>4.260976710237658E-07</v>
      </c>
      <c r="R21" s="5">
        <v>1.5832E-07</v>
      </c>
      <c r="S21" s="5">
        <v>1.43049285325</v>
      </c>
      <c r="T21" s="5">
        <v>2146.1654164752</v>
      </c>
      <c r="U21">
        <f t="shared" si="1"/>
        <v>-1.3971816212771956E-07</v>
      </c>
      <c r="W21" s="5">
        <v>1.675E-08</v>
      </c>
      <c r="X21" s="5">
        <v>0.90216407959</v>
      </c>
      <c r="Y21" s="5">
        <v>951.7184062506</v>
      </c>
      <c r="Z21">
        <f t="shared" si="2"/>
        <v>1.674572901574731E-08</v>
      </c>
      <c r="AB21" s="5">
        <v>5E-11</v>
      </c>
      <c r="AC21" s="5">
        <v>3.76879847273</v>
      </c>
      <c r="AD21" s="5">
        <v>12036.4607348882</v>
      </c>
      <c r="AE21">
        <f t="shared" si="3"/>
        <v>3.5681276285794637E-11</v>
      </c>
      <c r="AQ21" s="5">
        <v>5.285E-08</v>
      </c>
      <c r="AR21" s="5">
        <v>2.48446991566</v>
      </c>
      <c r="AS21" s="5">
        <v>4705.7323075436</v>
      </c>
      <c r="AT21">
        <f t="shared" si="5"/>
        <v>-4.4234346236200016E-08</v>
      </c>
      <c r="AV21" s="5">
        <v>2.32E-09</v>
      </c>
      <c r="AW21" s="5">
        <v>0.26781182579</v>
      </c>
      <c r="AX21" s="5">
        <v>7058.5984613154</v>
      </c>
      <c r="AY21">
        <f t="shared" si="6"/>
        <v>1.2151748501929115E-09</v>
      </c>
      <c r="BA21" s="5">
        <v>1.7E-10</v>
      </c>
      <c r="BB21" s="5">
        <v>0.66191210656</v>
      </c>
      <c r="BC21" s="5">
        <v>6283.0085396886</v>
      </c>
      <c r="BD21">
        <f t="shared" si="7"/>
        <v>-1.272874315816192E-10</v>
      </c>
      <c r="BP21" s="5">
        <v>6.2916E-07</v>
      </c>
      <c r="BQ21" s="5">
        <v>0.92177108832</v>
      </c>
      <c r="BR21" s="5">
        <v>529.6909650946</v>
      </c>
      <c r="BS21">
        <f t="shared" si="9"/>
        <v>2.61007884196554E-07</v>
      </c>
      <c r="BU21" s="5">
        <v>3.414E-08</v>
      </c>
      <c r="BV21" s="5">
        <v>5.41218322538</v>
      </c>
      <c r="BW21" s="5">
        <v>775.522611324</v>
      </c>
      <c r="BX21">
        <f t="shared" si="10"/>
        <v>-2.4447189410539103E-08</v>
      </c>
      <c r="BZ21" s="5">
        <v>2.79E-09</v>
      </c>
      <c r="CA21" s="5">
        <v>1.84120501086</v>
      </c>
      <c r="CB21" s="5">
        <v>4694.0029547076</v>
      </c>
      <c r="CC21">
        <f t="shared" si="11"/>
        <v>-2.7297253016839114E-09</v>
      </c>
      <c r="CE21" s="5">
        <v>7E-11</v>
      </c>
      <c r="CF21" s="5">
        <v>2.19184402142</v>
      </c>
      <c r="CG21" s="5">
        <v>6812.766815086</v>
      </c>
      <c r="CH21">
        <f t="shared" si="12"/>
        <v>-3.619432786982133E-11</v>
      </c>
    </row>
    <row r="22" spans="1:86" ht="12.75">
      <c r="A22">
        <f>RADIANS(F22)</f>
        <v>-1.422127861410081E-05</v>
      </c>
      <c r="B22">
        <f>F16*(-46.815+F16*(-0.00059+0.001813*F16))</f>
        <v>-5.748733802681827</v>
      </c>
      <c r="C22">
        <f>RADIANS(23.4392911+B22/3600)</f>
        <v>0.4090649333804375</v>
      </c>
      <c r="D22">
        <f>C22+A22</f>
        <v>0.40905071210182337</v>
      </c>
      <c r="E22">
        <f>9.2*COS(D19)+0.57*COS(2*B19)-0.1*COS(2*C19)-0.09*COS(2*D19)</f>
        <v>-2.9333492779234787</v>
      </c>
      <c r="F22">
        <f>E22/3600</f>
        <v>-0.000814819243867633</v>
      </c>
      <c r="J22" t="s">
        <v>104</v>
      </c>
      <c r="K22">
        <f>K3-1700</f>
        <v>312.29166666666674</v>
      </c>
      <c r="M22" s="5">
        <v>3.17087E-06</v>
      </c>
      <c r="N22" s="5">
        <v>5.84901952218</v>
      </c>
      <c r="O22" s="5">
        <v>11790.6290886588</v>
      </c>
      <c r="P22">
        <f t="shared" si="0"/>
        <v>3.129160960411565E-06</v>
      </c>
      <c r="R22" s="5">
        <v>1.4615E-07</v>
      </c>
      <c r="S22" s="5">
        <v>1.20532366323</v>
      </c>
      <c r="T22" s="5">
        <v>10977.078804699</v>
      </c>
      <c r="U22">
        <f t="shared" si="1"/>
        <v>-8.949543528412606E-08</v>
      </c>
      <c r="W22" s="5">
        <v>1.534E-08</v>
      </c>
      <c r="X22" s="5">
        <v>5.75900462759</v>
      </c>
      <c r="Y22" s="5">
        <v>1349.8674096588</v>
      </c>
      <c r="Z22">
        <f t="shared" si="2"/>
        <v>-1.4442392420508452E-08</v>
      </c>
      <c r="AB22" s="5">
        <v>5E-11</v>
      </c>
      <c r="AC22" s="5">
        <v>4.28412873331</v>
      </c>
      <c r="AD22" s="5">
        <v>6275.9623029906</v>
      </c>
      <c r="AE22">
        <f t="shared" si="3"/>
        <v>4.7293618199035585E-11</v>
      </c>
      <c r="AQ22" s="5">
        <v>5.208E-08</v>
      </c>
      <c r="AR22" s="5">
        <v>6.24992674537</v>
      </c>
      <c r="AS22" s="5">
        <v>18073.7049386502</v>
      </c>
      <c r="AT22">
        <f t="shared" si="5"/>
        <v>-2.140820428352629E-08</v>
      </c>
      <c r="AV22" s="5">
        <v>2.16E-09</v>
      </c>
      <c r="AW22" s="5">
        <v>6.05952221329</v>
      </c>
      <c r="AX22" s="5">
        <v>10977.078804699</v>
      </c>
      <c r="AY22">
        <f t="shared" si="6"/>
        <v>-1.8774612907794746E-09</v>
      </c>
      <c r="BA22" s="5">
        <v>1.8E-10</v>
      </c>
      <c r="BB22" s="5">
        <v>3.74885333072</v>
      </c>
      <c r="BC22" s="5">
        <v>11769.8536931664</v>
      </c>
      <c r="BD22">
        <f t="shared" si="7"/>
        <v>-1.460852490142684E-10</v>
      </c>
      <c r="BP22" s="5">
        <v>5.7056E-07</v>
      </c>
      <c r="BQ22" s="5">
        <v>2.01374292014</v>
      </c>
      <c r="BR22" s="5">
        <v>83996.8473181118</v>
      </c>
      <c r="BS22">
        <f t="shared" si="9"/>
        <v>-5.666899008303859E-07</v>
      </c>
      <c r="BU22" s="5">
        <v>2.863E-08</v>
      </c>
      <c r="BV22" s="5">
        <v>5.48432847146</v>
      </c>
      <c r="BW22" s="5">
        <v>10447.3878396044</v>
      </c>
      <c r="BX22">
        <f t="shared" si="10"/>
        <v>-7.280849388746372E-09</v>
      </c>
      <c r="BZ22" s="5">
        <v>2.6E-09</v>
      </c>
      <c r="CA22" s="5">
        <v>1.41629543251</v>
      </c>
      <c r="CB22" s="5">
        <v>2146.1654164752</v>
      </c>
      <c r="CC22">
        <f t="shared" si="11"/>
        <v>-2.2769214080813747E-09</v>
      </c>
      <c r="CE22" s="5">
        <v>5E-11</v>
      </c>
      <c r="CF22" s="5">
        <v>3.15419034438</v>
      </c>
      <c r="CG22" s="5">
        <v>529.6909650946</v>
      </c>
      <c r="CH22">
        <f t="shared" si="12"/>
        <v>-4.8639148824343447E-11</v>
      </c>
    </row>
    <row r="23" spans="10:86" ht="12.75">
      <c r="J23" t="s">
        <v>98</v>
      </c>
      <c r="K23">
        <f>8.83+K22*(0.1603+K22*(-0.0059285+K22*(0.00013336-K22/1174000)))</f>
        <v>-4559.253189557511</v>
      </c>
      <c r="L23">
        <f>K23*L21</f>
        <v>0</v>
      </c>
      <c r="M23" s="5">
        <v>2.71039E-06</v>
      </c>
      <c r="N23" s="5">
        <v>0.31488607649</v>
      </c>
      <c r="O23" s="5">
        <v>10977.078804699</v>
      </c>
      <c r="P23">
        <f t="shared" si="0"/>
        <v>-2.7097737463118218E-06</v>
      </c>
      <c r="R23" s="5">
        <v>1.1877E-07</v>
      </c>
      <c r="S23" s="5">
        <v>3.25804815607</v>
      </c>
      <c r="T23" s="5">
        <v>5088.6288397668</v>
      </c>
      <c r="U23">
        <f t="shared" si="1"/>
        <v>-1.1567728537196824E-07</v>
      </c>
      <c r="W23" s="5">
        <v>1.224E-08</v>
      </c>
      <c r="X23" s="5">
        <v>2.97328088405</v>
      </c>
      <c r="Y23" s="5">
        <v>2146.1654164752</v>
      </c>
      <c r="Z23">
        <f t="shared" si="2"/>
        <v>-6.056757531992943E-09</v>
      </c>
      <c r="AQ23" s="5">
        <v>4.529E-08</v>
      </c>
      <c r="AR23" s="5">
        <v>2.33827747356</v>
      </c>
      <c r="AS23" s="5">
        <v>6309.3741697912</v>
      </c>
      <c r="AT23">
        <f t="shared" si="5"/>
        <v>-1.3180275314965765E-08</v>
      </c>
      <c r="AV23" s="5">
        <v>2.32E-09</v>
      </c>
      <c r="AW23" s="5">
        <v>2.93325646109</v>
      </c>
      <c r="AX23" s="5">
        <v>22003.9146348698</v>
      </c>
      <c r="AY23">
        <f t="shared" si="6"/>
        <v>-2.2806428116092828E-09</v>
      </c>
      <c r="BA23" s="5">
        <v>1.7E-10</v>
      </c>
      <c r="BB23" s="5">
        <v>4.23058370776</v>
      </c>
      <c r="BC23" s="5">
        <v>10977.078804699</v>
      </c>
      <c r="BD23">
        <f t="shared" si="7"/>
        <v>1.189962300703907E-10</v>
      </c>
      <c r="BP23" s="5">
        <v>6.4903E-07</v>
      </c>
      <c r="BQ23" s="5">
        <v>0.27250613787</v>
      </c>
      <c r="BR23" s="5">
        <v>17260.1546546904</v>
      </c>
      <c r="BS23">
        <f t="shared" si="9"/>
        <v>1.0598560178735773E-07</v>
      </c>
      <c r="BU23" s="5">
        <v>2.52E-08</v>
      </c>
      <c r="BV23" s="5">
        <v>0.24276941146</v>
      </c>
      <c r="BW23" s="5">
        <v>398.1490034082</v>
      </c>
      <c r="BX23">
        <f t="shared" si="10"/>
        <v>1.0264504709748716E-08</v>
      </c>
      <c r="BZ23" s="5">
        <v>2.66E-09</v>
      </c>
      <c r="CA23" s="5">
        <v>3.13832905677</v>
      </c>
      <c r="CB23" s="5">
        <v>71430.695618129</v>
      </c>
      <c r="CC23">
        <f t="shared" si="11"/>
        <v>2.1369519655953687E-09</v>
      </c>
      <c r="CE23" s="5">
        <v>6E-11</v>
      </c>
      <c r="CF23" s="5">
        <v>4.54725567047</v>
      </c>
      <c r="CG23" s="5">
        <v>1059.3819301892</v>
      </c>
      <c r="CH23">
        <f t="shared" si="12"/>
        <v>1.642895118747826E-11</v>
      </c>
    </row>
    <row r="24" spans="1:86" ht="12.75">
      <c r="A24" t="s">
        <v>30</v>
      </c>
      <c r="B24" t="s">
        <v>31</v>
      </c>
      <c r="C24" s="6" t="s">
        <v>31</v>
      </c>
      <c r="M24" s="5">
        <v>2.0616E-06</v>
      </c>
      <c r="N24" s="5">
        <v>4.80646606059</v>
      </c>
      <c r="O24" s="5">
        <v>2544.3144198834</v>
      </c>
      <c r="P24">
        <f t="shared" si="0"/>
        <v>-1.6167748151759076E-07</v>
      </c>
      <c r="R24" s="5">
        <v>1.1514E-07</v>
      </c>
      <c r="S24" s="5">
        <v>2.07502418155</v>
      </c>
      <c r="T24" s="5">
        <v>4694.0029547076</v>
      </c>
      <c r="U24">
        <f t="shared" si="1"/>
        <v>-1.1510233611183415E-07</v>
      </c>
      <c r="W24" s="5">
        <v>1.449E-08</v>
      </c>
      <c r="X24" s="5">
        <v>4.3641591397</v>
      </c>
      <c r="Y24" s="5">
        <v>1748.016413067</v>
      </c>
      <c r="Z24">
        <f t="shared" si="2"/>
        <v>1.1115302303130885E-08</v>
      </c>
      <c r="AQ24" s="5">
        <v>5.579E-08</v>
      </c>
      <c r="AR24" s="5">
        <v>4.41023653738</v>
      </c>
      <c r="AS24" s="5">
        <v>7860.4193924392</v>
      </c>
      <c r="AT24">
        <f t="shared" si="5"/>
        <v>5.1328448086835666E-08</v>
      </c>
      <c r="AV24" s="5">
        <v>2.04E-09</v>
      </c>
      <c r="AW24" s="5">
        <v>3.86264841382</v>
      </c>
      <c r="AX24" s="5">
        <v>6496.3749454294</v>
      </c>
      <c r="AY24">
        <f t="shared" si="6"/>
        <v>-7.638600558844447E-10</v>
      </c>
      <c r="BA24" s="5">
        <v>1.7E-10</v>
      </c>
      <c r="BB24" s="5">
        <v>1.78116162721</v>
      </c>
      <c r="BC24" s="5">
        <v>5486.777843175</v>
      </c>
      <c r="BD24">
        <f t="shared" si="7"/>
        <v>1.6985041486417035E-10</v>
      </c>
      <c r="BP24" s="5">
        <v>4.9384E-07</v>
      </c>
      <c r="BQ24" s="5">
        <v>3.24501240359</v>
      </c>
      <c r="BR24" s="5">
        <v>2544.3144198834</v>
      </c>
      <c r="BS24">
        <f t="shared" si="9"/>
        <v>-4.926593838179399E-07</v>
      </c>
      <c r="BU24" s="5">
        <v>2.201E-08</v>
      </c>
      <c r="BV24" s="5">
        <v>4.95216196651</v>
      </c>
      <c r="BW24" s="5">
        <v>6812.766815086</v>
      </c>
      <c r="BX24">
        <f t="shared" si="10"/>
        <v>1.7573528252786307E-08</v>
      </c>
      <c r="BZ24" s="5">
        <v>3.21E-09</v>
      </c>
      <c r="CA24" s="5">
        <v>5.35313367048</v>
      </c>
      <c r="CB24" s="5">
        <v>3154.6870848956</v>
      </c>
      <c r="CC24">
        <f t="shared" si="11"/>
        <v>3.190824668604618E-09</v>
      </c>
      <c r="CE24" s="5">
        <v>5E-11</v>
      </c>
      <c r="CF24" s="5">
        <v>1.51104406936</v>
      </c>
      <c r="CG24" s="5">
        <v>7079.3738568078</v>
      </c>
      <c r="CH24">
        <f t="shared" si="12"/>
        <v>4.437659352610538E-11</v>
      </c>
    </row>
    <row r="25" spans="1:86" ht="12.75">
      <c r="A25">
        <f>280.46061837+360.98564736629*(F13-2451545)+F16*F16*(0.000387933-F16/38710000)</f>
        <v>1619354.9736904833</v>
      </c>
      <c r="B25">
        <f>A25+F19*COS(D22)</f>
        <v>1619354.9775651721</v>
      </c>
      <c r="C25">
        <f>B25-INT(B25/360)*360</f>
        <v>74.97756517212838</v>
      </c>
      <c r="J25" t="s">
        <v>121</v>
      </c>
      <c r="K25" t="s">
        <v>106</v>
      </c>
      <c r="L25" t="b">
        <f>AND(1800&lt;A2,A2&lt;=1860)</f>
        <v>0</v>
      </c>
      <c r="M25" s="5">
        <v>2.05385E-06</v>
      </c>
      <c r="N25" s="5">
        <v>1.86947813692</v>
      </c>
      <c r="O25" s="5">
        <v>5573.1428014331</v>
      </c>
      <c r="P25">
        <f t="shared" si="0"/>
        <v>7.618019311314197E-07</v>
      </c>
      <c r="R25" s="5">
        <v>9.721E-08</v>
      </c>
      <c r="S25" s="5">
        <v>4.23925472239</v>
      </c>
      <c r="T25" s="5">
        <v>1349.8674096588</v>
      </c>
      <c r="U25">
        <f t="shared" si="1"/>
        <v>-3.739203812959749E-08</v>
      </c>
      <c r="W25" s="5">
        <v>1.341E-08</v>
      </c>
      <c r="X25" s="5">
        <v>3.72061130861</v>
      </c>
      <c r="Y25" s="5">
        <v>1194.4470102246</v>
      </c>
      <c r="Z25">
        <f t="shared" si="2"/>
        <v>1.2006955798004288E-08</v>
      </c>
      <c r="AQ25" s="5">
        <v>4.743E-08</v>
      </c>
      <c r="AR25" s="5">
        <v>0.70995680136</v>
      </c>
      <c r="AS25" s="5">
        <v>5884.9268465832</v>
      </c>
      <c r="AT25">
        <f t="shared" si="5"/>
        <v>-3.571142085253301E-08</v>
      </c>
      <c r="AV25" s="5">
        <v>2.02E-09</v>
      </c>
      <c r="AW25" s="5">
        <v>2.81892511133</v>
      </c>
      <c r="AX25" s="5">
        <v>15720.8387848784</v>
      </c>
      <c r="AY25">
        <f t="shared" si="6"/>
        <v>9.397353445875224E-10</v>
      </c>
      <c r="BA25" s="5">
        <v>2.1E-10</v>
      </c>
      <c r="BB25" s="5">
        <v>1.36972913918</v>
      </c>
      <c r="BC25" s="5">
        <v>12036.4607348882</v>
      </c>
      <c r="BD25">
        <f t="shared" si="7"/>
        <v>-1.0943760897623364E-11</v>
      </c>
      <c r="BP25" s="5">
        <v>5.5736E-07</v>
      </c>
      <c r="BQ25" s="5">
        <v>5.24159798933</v>
      </c>
      <c r="BR25" s="5">
        <v>71430.695618129</v>
      </c>
      <c r="BS25">
        <f t="shared" si="9"/>
        <v>-5.132642298127739E-07</v>
      </c>
      <c r="BU25" s="5">
        <v>2.186E-08</v>
      </c>
      <c r="BV25" s="5">
        <v>0.41991743105</v>
      </c>
      <c r="BW25" s="5">
        <v>8031.0922630584</v>
      </c>
      <c r="BX25">
        <f t="shared" si="10"/>
        <v>1.7234986139249241E-09</v>
      </c>
      <c r="BZ25" s="5">
        <v>2.38E-09</v>
      </c>
      <c r="CA25" s="5">
        <v>2.17720020018</v>
      </c>
      <c r="CB25" s="5">
        <v>155.4203994342</v>
      </c>
      <c r="CC25">
        <f t="shared" si="11"/>
        <v>-1.3957669199836352E-09</v>
      </c>
      <c r="CE25" s="5">
        <v>7E-11</v>
      </c>
      <c r="CF25" s="5">
        <v>2.98052059053</v>
      </c>
      <c r="CG25" s="5">
        <v>6681.2248533996</v>
      </c>
      <c r="CH25">
        <f t="shared" si="12"/>
        <v>-6.859398655691104E-11</v>
      </c>
    </row>
    <row r="26" spans="10:86" ht="12.75">
      <c r="J26" t="s">
        <v>104</v>
      </c>
      <c r="K26">
        <f>K3-1800</f>
        <v>212.29166666666674</v>
      </c>
      <c r="M26" s="5">
        <v>2.02261E-06</v>
      </c>
      <c r="N26" s="5">
        <v>2.45767795458</v>
      </c>
      <c r="O26" s="5">
        <v>6069.7767545534</v>
      </c>
      <c r="P26">
        <f t="shared" si="0"/>
        <v>-4.7573910398453415E-08</v>
      </c>
      <c r="R26" s="5">
        <v>9.969E-08</v>
      </c>
      <c r="S26" s="5">
        <v>1.30262991097</v>
      </c>
      <c r="T26" s="5">
        <v>6286.5989683404</v>
      </c>
      <c r="U26">
        <f t="shared" si="1"/>
        <v>-9.96109921806816E-08</v>
      </c>
      <c r="W26" s="5">
        <v>1.254E-08</v>
      </c>
      <c r="X26" s="5">
        <v>2.94846826628</v>
      </c>
      <c r="Y26" s="5">
        <v>6438.4962494256</v>
      </c>
      <c r="Z26">
        <f t="shared" si="2"/>
        <v>1.186467531721495E-08</v>
      </c>
      <c r="AQ26" s="5">
        <v>4.301E-08</v>
      </c>
      <c r="AR26" s="5">
        <v>1.10255777773</v>
      </c>
      <c r="AS26" s="5">
        <v>6681.2248533996</v>
      </c>
      <c r="AT26">
        <f t="shared" si="5"/>
        <v>4.567651633938248E-09</v>
      </c>
      <c r="AV26" s="5">
        <v>1.85E-09</v>
      </c>
      <c r="AW26" s="5">
        <v>4.93512381859</v>
      </c>
      <c r="AX26" s="5">
        <v>12036.4607348882</v>
      </c>
      <c r="AY26">
        <f t="shared" si="6"/>
        <v>-6.718598731528983E-10</v>
      </c>
      <c r="BA26" s="5">
        <v>1.7E-10</v>
      </c>
      <c r="BB26" s="5">
        <v>2.79601092529</v>
      </c>
      <c r="BC26" s="5">
        <v>796.2980068164</v>
      </c>
      <c r="BD26">
        <f t="shared" si="7"/>
        <v>1.6999467052343802E-10</v>
      </c>
      <c r="BP26" s="5">
        <v>4.2515E-07</v>
      </c>
      <c r="BQ26" s="5">
        <v>6.01110242003</v>
      </c>
      <c r="BR26" s="5">
        <v>6275.9623029906</v>
      </c>
      <c r="BS26">
        <f t="shared" si="9"/>
        <v>7.37485915098344E-08</v>
      </c>
      <c r="BU26" s="5">
        <v>2.838E-08</v>
      </c>
      <c r="BV26" s="5">
        <v>3.42034351366</v>
      </c>
      <c r="BW26" s="5">
        <v>2352.8661537718</v>
      </c>
      <c r="BX26">
        <f t="shared" si="10"/>
        <v>1.7711436947263625E-08</v>
      </c>
      <c r="BZ26" s="5">
        <v>2.93E-09</v>
      </c>
      <c r="CA26" s="5">
        <v>4.61501268144</v>
      </c>
      <c r="CB26" s="5">
        <v>4690.4798363586</v>
      </c>
      <c r="CC26">
        <f t="shared" si="11"/>
        <v>2.385874865389046E-09</v>
      </c>
      <c r="CE26" s="5">
        <v>5E-11</v>
      </c>
      <c r="CF26" s="5">
        <v>2.30961231391</v>
      </c>
      <c r="CG26" s="5">
        <v>12036.4607348882</v>
      </c>
      <c r="CH26">
        <f t="shared" si="12"/>
        <v>3.8782566965407503E-11</v>
      </c>
    </row>
    <row r="27" spans="1:86" ht="12.75">
      <c r="A27" s="4" t="s">
        <v>9</v>
      </c>
      <c r="B27" s="9" t="s">
        <v>32</v>
      </c>
      <c r="C27" s="4" t="s">
        <v>9</v>
      </c>
      <c r="D27" s="4" t="s">
        <v>9</v>
      </c>
      <c r="E27" s="4" t="s">
        <v>9</v>
      </c>
      <c r="F27" s="4" t="s">
        <v>9</v>
      </c>
      <c r="J27" t="s">
        <v>98</v>
      </c>
      <c r="K27">
        <f>13.72+K26*(-0.332447+K26*(0.0068612+K26*(0.0041116+K26*(-0.00037436+K26*(0.0000121272+K26*(-0.0000001699+0.000000000875*K26))))))</f>
        <v>5959648.09844193</v>
      </c>
      <c r="L27">
        <f>K27*L25</f>
        <v>0</v>
      </c>
      <c r="M27" s="5">
        <v>1.26184E-06</v>
      </c>
      <c r="N27" s="5">
        <v>1.0830263021</v>
      </c>
      <c r="O27" s="5">
        <v>20.7753954924</v>
      </c>
      <c r="P27">
        <f t="shared" si="0"/>
        <v>2.9093209168390746E-07</v>
      </c>
      <c r="R27" s="5">
        <v>9.452E-08</v>
      </c>
      <c r="S27" s="5">
        <v>2.69957062864</v>
      </c>
      <c r="T27" s="5">
        <v>242.728603974</v>
      </c>
      <c r="U27">
        <f t="shared" si="1"/>
        <v>7.785095126281683E-08</v>
      </c>
      <c r="W27" s="5">
        <v>9.99E-09</v>
      </c>
      <c r="X27" s="5">
        <v>5.98640014468</v>
      </c>
      <c r="Y27" s="5">
        <v>6286.5989683404</v>
      </c>
      <c r="Z27">
        <f t="shared" si="2"/>
        <v>6.831253116749384E-10</v>
      </c>
      <c r="AQ27" s="5">
        <v>3.849E-08</v>
      </c>
      <c r="AR27" s="5">
        <v>1.82229412531</v>
      </c>
      <c r="AS27" s="5">
        <v>5486.777843175</v>
      </c>
      <c r="AT27">
        <f t="shared" si="5"/>
        <v>3.8357223217552596E-08</v>
      </c>
      <c r="AV27" s="5">
        <v>2.2E-09</v>
      </c>
      <c r="AW27" s="5">
        <v>3.99305643742</v>
      </c>
      <c r="AX27" s="5">
        <v>6812.766815086</v>
      </c>
      <c r="AY27">
        <f t="shared" si="6"/>
        <v>2.0931119666120484E-09</v>
      </c>
      <c r="BA27" s="5">
        <v>1.5E-10</v>
      </c>
      <c r="BB27" s="5">
        <v>0.4308784885</v>
      </c>
      <c r="BC27" s="5">
        <v>11790.6290886588</v>
      </c>
      <c r="BD27">
        <f t="shared" si="7"/>
        <v>1.1446794137069118E-10</v>
      </c>
      <c r="BP27" s="5">
        <v>4.6963E-07</v>
      </c>
      <c r="BQ27" s="5">
        <v>2.57805070386</v>
      </c>
      <c r="BR27" s="5">
        <v>775.522611324</v>
      </c>
      <c r="BS27">
        <f t="shared" si="9"/>
        <v>4.197323706422189E-07</v>
      </c>
      <c r="BU27" s="5">
        <v>2.554E-08</v>
      </c>
      <c r="BV27" s="5">
        <v>6.13241878525</v>
      </c>
      <c r="BW27" s="5">
        <v>6438.4962494256</v>
      </c>
      <c r="BX27">
        <f t="shared" si="10"/>
        <v>-2.3792780506721393E-08</v>
      </c>
      <c r="BZ27" s="5">
        <v>2.29E-09</v>
      </c>
      <c r="CA27" s="5">
        <v>4.7596958807</v>
      </c>
      <c r="CB27" s="5">
        <v>7234.794256242</v>
      </c>
      <c r="CC27">
        <f t="shared" si="11"/>
        <v>1.8269243788933175E-09</v>
      </c>
      <c r="CE27" s="5">
        <v>5E-11</v>
      </c>
      <c r="CF27" s="5">
        <v>3.71102966917</v>
      </c>
      <c r="CG27" s="5">
        <v>6290.1893969922</v>
      </c>
      <c r="CH27">
        <f t="shared" si="12"/>
        <v>3.729473666949067E-11</v>
      </c>
    </row>
    <row r="28" spans="13:81" ht="12.75">
      <c r="M28" s="5">
        <v>1.55516E-06</v>
      </c>
      <c r="N28" s="5">
        <v>0.83306073807</v>
      </c>
      <c r="O28" s="5">
        <v>213.299095438</v>
      </c>
      <c r="P28">
        <f t="shared" si="0"/>
        <v>-1.4806934241375884E-06</v>
      </c>
      <c r="R28" s="5">
        <v>1.2461E-07</v>
      </c>
      <c r="S28" s="5">
        <v>2.83432285512</v>
      </c>
      <c r="T28" s="5">
        <v>1748.016413067</v>
      </c>
      <c r="U28">
        <f t="shared" si="1"/>
        <v>8.378767350798964E-08</v>
      </c>
      <c r="W28" s="5">
        <v>9.17E-09</v>
      </c>
      <c r="X28" s="5">
        <v>4.79788687522</v>
      </c>
      <c r="Y28" s="5">
        <v>5088.6288397668</v>
      </c>
      <c r="Z28">
        <f t="shared" si="2"/>
        <v>-2.3544517761185492E-09</v>
      </c>
      <c r="AQ28" s="5">
        <v>4.093E-08</v>
      </c>
      <c r="AR28" s="5">
        <v>5.11700141207</v>
      </c>
      <c r="AS28" s="5">
        <v>13367.9726311066</v>
      </c>
      <c r="AT28">
        <f t="shared" si="5"/>
        <v>3.809035378463187E-08</v>
      </c>
      <c r="AV28" s="5">
        <v>1.66E-09</v>
      </c>
      <c r="AW28" s="5">
        <v>1.74970002999</v>
      </c>
      <c r="AX28" s="5">
        <v>11506.7697697936</v>
      </c>
      <c r="AY28">
        <f t="shared" si="6"/>
        <v>1.7660178499526184E-10</v>
      </c>
      <c r="BA28" s="5">
        <v>1.7E-10</v>
      </c>
      <c r="BB28" s="5">
        <v>1.35132152761</v>
      </c>
      <c r="BC28" s="5">
        <v>78051.5857313169</v>
      </c>
      <c r="BD28">
        <f t="shared" si="7"/>
        <v>7.2410139816519275E-12</v>
      </c>
      <c r="BP28" s="5">
        <v>3.8968E-07</v>
      </c>
      <c r="BQ28" s="5">
        <v>5.36071738169</v>
      </c>
      <c r="BR28" s="5">
        <v>4694.0029547076</v>
      </c>
      <c r="BS28">
        <f t="shared" si="9"/>
        <v>3.840838069197271E-07</v>
      </c>
      <c r="BU28" s="5">
        <v>1.932E-08</v>
      </c>
      <c r="BV28" s="5">
        <v>5.31374608366</v>
      </c>
      <c r="BW28" s="5">
        <v>8429.2412664666</v>
      </c>
      <c r="BX28">
        <f t="shared" si="10"/>
        <v>-8.178672852878459E-09</v>
      </c>
      <c r="BZ28" s="5">
        <v>2.11E-09</v>
      </c>
      <c r="CA28" s="5">
        <v>0.21868065485</v>
      </c>
      <c r="CB28" s="5">
        <v>4705.7323075436</v>
      </c>
      <c r="CC28">
        <f t="shared" si="11"/>
        <v>2.4407737685915707E-10</v>
      </c>
    </row>
    <row r="29" spans="1:81" ht="12.75">
      <c r="A29" t="s">
        <v>33</v>
      </c>
      <c r="B29" t="s">
        <v>34</v>
      </c>
      <c r="C29" t="s">
        <v>35</v>
      </c>
      <c r="D29" t="s">
        <v>36</v>
      </c>
      <c r="E29" t="s">
        <v>37</v>
      </c>
      <c r="F29" t="s">
        <v>38</v>
      </c>
      <c r="J29" t="s">
        <v>107</v>
      </c>
      <c r="K29" t="s">
        <v>108</v>
      </c>
      <c r="L29" t="b">
        <f>AND(1860&lt;A2,A2&lt;=1900)</f>
        <v>0</v>
      </c>
      <c r="M29" s="5">
        <v>1.15132E-06</v>
      </c>
      <c r="N29" s="5">
        <v>0.64544911683</v>
      </c>
      <c r="O29" s="5">
        <v>0.9803210682</v>
      </c>
      <c r="P29">
        <f t="shared" si="0"/>
        <v>9.113047961965234E-07</v>
      </c>
      <c r="R29" s="5">
        <v>1.1808E-07</v>
      </c>
      <c r="S29" s="5">
        <v>5.2737979048</v>
      </c>
      <c r="T29" s="5">
        <v>1194.4470102246</v>
      </c>
      <c r="U29">
        <f t="shared" si="1"/>
        <v>5.4436509263405156E-08</v>
      </c>
      <c r="W29" s="5">
        <v>8.28E-09</v>
      </c>
      <c r="X29" s="5">
        <v>3.31321076572</v>
      </c>
      <c r="Y29" s="5">
        <v>213.299095438</v>
      </c>
      <c r="Z29">
        <f t="shared" si="2"/>
        <v>7.775926555739117E-09</v>
      </c>
      <c r="AQ29" s="5">
        <v>3.681E-08</v>
      </c>
      <c r="AR29" s="5">
        <v>0.43793170356</v>
      </c>
      <c r="AS29" s="5">
        <v>3154.6870848956</v>
      </c>
      <c r="AT29">
        <f t="shared" si="5"/>
        <v>3.4350746519809677E-09</v>
      </c>
      <c r="AV29" s="5">
        <v>2.12E-09</v>
      </c>
      <c r="AW29" s="5">
        <v>1.57166285369</v>
      </c>
      <c r="AX29" s="5">
        <v>4694.0029547076</v>
      </c>
      <c r="AY29">
        <f t="shared" si="6"/>
        <v>-1.882595232171839E-09</v>
      </c>
      <c r="BA29" s="5">
        <v>1.5E-10</v>
      </c>
      <c r="BB29" s="5">
        <v>1.17032155085</v>
      </c>
      <c r="BC29" s="5">
        <v>213.299095438</v>
      </c>
      <c r="BD29">
        <f t="shared" si="7"/>
        <v>-1.1959644502965547E-10</v>
      </c>
      <c r="BP29" s="5">
        <v>4.4661E-07</v>
      </c>
      <c r="BQ29" s="5">
        <v>5.53715807302</v>
      </c>
      <c r="BR29" s="5">
        <v>9437.762934887</v>
      </c>
      <c r="BS29">
        <f t="shared" si="9"/>
        <v>-2.056290436673297E-07</v>
      </c>
      <c r="BU29" s="5">
        <v>2.429E-08</v>
      </c>
      <c r="BV29" s="5">
        <v>3.09164528262</v>
      </c>
      <c r="BW29" s="5">
        <v>4690.4798363586</v>
      </c>
      <c r="BX29">
        <f t="shared" si="10"/>
        <v>-1.3145663884874661E-08</v>
      </c>
      <c r="BZ29" s="5">
        <v>2.01E-09</v>
      </c>
      <c r="CA29" s="5">
        <v>4.21905743357</v>
      </c>
      <c r="CB29" s="5">
        <v>1349.8674096588</v>
      </c>
      <c r="CC29">
        <f t="shared" si="11"/>
        <v>-7.355226164230628E-10</v>
      </c>
    </row>
    <row r="30" spans="1:81" ht="12.75">
      <c r="A30">
        <f>SUM(P1:P559)</f>
        <v>1.7863450072636273</v>
      </c>
      <c r="B30">
        <f>SUM(U1:U341)</f>
        <v>6283.319142340806</v>
      </c>
      <c r="C30">
        <f>SUM(Z1:Z142)</f>
        <v>0.00044584463015412065</v>
      </c>
      <c r="D30">
        <f>SUM(AE1:AE22)</f>
        <v>9.357736744824578E-07</v>
      </c>
      <c r="E30">
        <f>SUM(AJ1:AJ11)</f>
        <v>-1.0693688436110227E-06</v>
      </c>
      <c r="F30">
        <f>SUM(AO1:AO5)</f>
        <v>-9.186675567655957E-09</v>
      </c>
      <c r="J30" t="s">
        <v>104</v>
      </c>
      <c r="K30">
        <f>K3-1860</f>
        <v>152.29166666666674</v>
      </c>
      <c r="M30" s="5">
        <v>1.02851E-06</v>
      </c>
      <c r="N30" s="5">
        <v>0.63599846727</v>
      </c>
      <c r="O30" s="5">
        <v>4694.0029547076</v>
      </c>
      <c r="P30">
        <f t="shared" si="0"/>
        <v>-1.6116822962717706E-07</v>
      </c>
      <c r="R30" s="5">
        <v>8.577E-08</v>
      </c>
      <c r="S30" s="5">
        <v>5.64475868067</v>
      </c>
      <c r="T30" s="5">
        <v>951.7184062506</v>
      </c>
      <c r="U30">
        <f t="shared" si="1"/>
        <v>4.525573764696998E-09</v>
      </c>
      <c r="W30" s="5">
        <v>1.103E-08</v>
      </c>
      <c r="X30" s="5">
        <v>1.27104454479</v>
      </c>
      <c r="Y30" s="5">
        <v>161000.685737674</v>
      </c>
      <c r="Z30">
        <f t="shared" si="2"/>
        <v>6.884162790343876E-09</v>
      </c>
      <c r="AQ30" s="5">
        <v>3.42E-08</v>
      </c>
      <c r="AR30" s="5">
        <v>5.42034800952</v>
      </c>
      <c r="AS30" s="5">
        <v>6069.7767545534</v>
      </c>
      <c r="AT30">
        <f t="shared" si="5"/>
        <v>-5.293294008108353E-09</v>
      </c>
      <c r="AV30" s="5">
        <v>1.57E-09</v>
      </c>
      <c r="AW30" s="5">
        <v>1.08259734788</v>
      </c>
      <c r="AX30" s="5">
        <v>5643.1785636774</v>
      </c>
      <c r="AY30">
        <f t="shared" si="6"/>
        <v>4.742415584647472E-10</v>
      </c>
      <c r="BA30" s="5">
        <v>1.8E-10</v>
      </c>
      <c r="BB30" s="5">
        <v>2.85221514199</v>
      </c>
      <c r="BC30" s="5">
        <v>5088.6288397668</v>
      </c>
      <c r="BD30">
        <f t="shared" si="7"/>
        <v>-1.4496205869266357E-10</v>
      </c>
      <c r="BP30" s="5">
        <v>3.566E-07</v>
      </c>
      <c r="BQ30" s="5">
        <v>1.67468058995</v>
      </c>
      <c r="BR30" s="5">
        <v>12036.4607348882</v>
      </c>
      <c r="BS30">
        <f t="shared" si="9"/>
        <v>8.919641527858723E-08</v>
      </c>
      <c r="BU30" s="5">
        <v>1.73E-08</v>
      </c>
      <c r="BV30" s="5">
        <v>1.5368620855</v>
      </c>
      <c r="BW30" s="5">
        <v>4705.7323075436</v>
      </c>
      <c r="BX30">
        <f t="shared" si="10"/>
        <v>-1.613831149202564E-08</v>
      </c>
      <c r="BZ30" s="5">
        <v>1.95E-09</v>
      </c>
      <c r="CA30" s="5">
        <v>4.57808285364</v>
      </c>
      <c r="CB30" s="5">
        <v>529.6909650946</v>
      </c>
      <c r="CC30">
        <f t="shared" si="11"/>
        <v>1.693188704957274E-10</v>
      </c>
    </row>
    <row r="31" spans="10:81" ht="12.75">
      <c r="J31" t="s">
        <v>98</v>
      </c>
      <c r="K31">
        <f>7.62+K30*(0.5737+K30*(-0.251754+K30*(0.01680668+K30*(-0.0004473624+K30/233174))))</f>
        <v>164298.60638225486</v>
      </c>
      <c r="L31">
        <f>K31*L29</f>
        <v>0</v>
      </c>
      <c r="M31" s="5">
        <v>1.01724E-06</v>
      </c>
      <c r="N31" s="5">
        <v>4.26679821365</v>
      </c>
      <c r="O31" s="5">
        <v>7.1135470008</v>
      </c>
      <c r="P31">
        <f t="shared" si="0"/>
        <v>-3.566701161294188E-07</v>
      </c>
      <c r="R31" s="5">
        <v>1.0641E-07</v>
      </c>
      <c r="S31" s="5">
        <v>0.76614199202</v>
      </c>
      <c r="T31" s="5">
        <v>553.5694028424</v>
      </c>
      <c r="U31">
        <f t="shared" si="1"/>
        <v>3.0447464064379034E-08</v>
      </c>
      <c r="W31" s="5">
        <v>7.62E-09</v>
      </c>
      <c r="X31" s="5">
        <v>3.41582762988</v>
      </c>
      <c r="Y31" s="5">
        <v>5486.777843175</v>
      </c>
      <c r="Z31">
        <f t="shared" si="2"/>
        <v>-8.048672451464943E-10</v>
      </c>
      <c r="AQ31" s="5">
        <v>3.617E-08</v>
      </c>
      <c r="AR31" s="5">
        <v>6.04641937526</v>
      </c>
      <c r="AS31" s="5">
        <v>3930.2096962196</v>
      </c>
      <c r="AT31">
        <f t="shared" si="5"/>
        <v>-2.2454475057432734E-08</v>
      </c>
      <c r="AV31" s="5">
        <v>1.54E-09</v>
      </c>
      <c r="AW31" s="5">
        <v>5.99434678412</v>
      </c>
      <c r="AX31" s="5">
        <v>5486.777843175</v>
      </c>
      <c r="AY31">
        <f t="shared" si="6"/>
        <v>-6.798833813070157E-10</v>
      </c>
      <c r="BA31" s="5">
        <v>1.7E-10</v>
      </c>
      <c r="BB31" s="5">
        <v>0.21780913672</v>
      </c>
      <c r="BC31" s="5">
        <v>6283.14316029419</v>
      </c>
      <c r="BD31">
        <f t="shared" si="7"/>
        <v>-6.678373117217523E-11</v>
      </c>
      <c r="BP31" s="5">
        <v>3.1921E-07</v>
      </c>
      <c r="BQ31" s="5">
        <v>0.18368229781</v>
      </c>
      <c r="BR31" s="5">
        <v>5088.6288397668</v>
      </c>
      <c r="BS31">
        <f t="shared" si="9"/>
        <v>3.150572251732869E-07</v>
      </c>
      <c r="BU31" s="5">
        <v>2.25E-08</v>
      </c>
      <c r="BV31" s="5">
        <v>3.68863633842</v>
      </c>
      <c r="BW31" s="5">
        <v>7084.8967811152</v>
      </c>
      <c r="BX31">
        <f t="shared" si="10"/>
        <v>-2.05687894090075E-08</v>
      </c>
      <c r="BZ31" s="5">
        <v>2.53E-09</v>
      </c>
      <c r="CA31" s="5">
        <v>2.81496293039</v>
      </c>
      <c r="CB31" s="5">
        <v>1748.016413067</v>
      </c>
      <c r="CC31">
        <f t="shared" si="11"/>
        <v>1.6645987418348456E-09</v>
      </c>
    </row>
    <row r="32" spans="1:81" ht="12.75">
      <c r="A32" t="s">
        <v>39</v>
      </c>
      <c r="B32" t="s">
        <v>40</v>
      </c>
      <c r="C32" t="s">
        <v>41</v>
      </c>
      <c r="D32" t="s">
        <v>42</v>
      </c>
      <c r="E32" t="s">
        <v>43</v>
      </c>
      <c r="F32" t="s">
        <v>44</v>
      </c>
      <c r="M32" s="5">
        <v>9.9206E-07</v>
      </c>
      <c r="N32" s="5">
        <v>6.20992940258</v>
      </c>
      <c r="O32" s="5">
        <v>2146.1654164752</v>
      </c>
      <c r="P32">
        <f t="shared" si="0"/>
        <v>4.0686482115903107E-07</v>
      </c>
      <c r="R32" s="5">
        <v>7.576E-08</v>
      </c>
      <c r="S32" s="5">
        <v>5.30062664886</v>
      </c>
      <c r="T32" s="5">
        <v>2352.8661537718</v>
      </c>
      <c r="U32">
        <f t="shared" si="1"/>
        <v>-7.078357016264647E-08</v>
      </c>
      <c r="W32" s="5">
        <v>1.044E-08</v>
      </c>
      <c r="X32" s="5">
        <v>0.60409577691</v>
      </c>
      <c r="Y32" s="5">
        <v>3154.6870848956</v>
      </c>
      <c r="Z32">
        <f t="shared" si="2"/>
        <v>-7.584136673154786E-10</v>
      </c>
      <c r="AQ32" s="5">
        <v>3.67E-08</v>
      </c>
      <c r="AR32" s="5">
        <v>4.58210192227</v>
      </c>
      <c r="AS32" s="5">
        <v>12194.0329146209</v>
      </c>
      <c r="AT32">
        <f t="shared" si="5"/>
        <v>-3.404399418393905E-08</v>
      </c>
      <c r="AV32" s="5">
        <v>1.44E-09</v>
      </c>
      <c r="AW32" s="5">
        <v>5.23285656085</v>
      </c>
      <c r="AX32" s="5">
        <v>78051.5857313169</v>
      </c>
      <c r="AY32">
        <f t="shared" si="6"/>
        <v>-1.0153290011145094E-09</v>
      </c>
      <c r="BA32" s="5">
        <v>1.3E-10</v>
      </c>
      <c r="BB32" s="5">
        <v>1.21201504386</v>
      </c>
      <c r="BC32" s="5">
        <v>25132.3033999656</v>
      </c>
      <c r="BD32">
        <f t="shared" si="7"/>
        <v>-4.840928189270861E-11</v>
      </c>
      <c r="BP32" s="5">
        <v>3.1846E-07</v>
      </c>
      <c r="BQ32" s="5">
        <v>1.77775642085</v>
      </c>
      <c r="BR32" s="5">
        <v>398.1490034082</v>
      </c>
      <c r="BS32">
        <f t="shared" si="9"/>
        <v>2.9530225290219165E-07</v>
      </c>
      <c r="BU32" s="5">
        <v>2.093E-08</v>
      </c>
      <c r="BV32" s="5">
        <v>1.28191783032</v>
      </c>
      <c r="BW32" s="5">
        <v>1748.016413067</v>
      </c>
      <c r="BX32">
        <f t="shared" si="10"/>
        <v>-1.5230716160854665E-08</v>
      </c>
      <c r="BZ32" s="5">
        <v>1.82E-09</v>
      </c>
      <c r="CA32" s="5">
        <v>5.70454011389</v>
      </c>
      <c r="CB32" s="5">
        <v>6040.3472460174</v>
      </c>
      <c r="CC32">
        <f t="shared" si="11"/>
        <v>-4.1951086347983503E-10</v>
      </c>
    </row>
    <row r="33" spans="1:81" ht="12.75">
      <c r="A33">
        <f>SUM(AT1:AT184)</f>
        <v>-1.539494389886509E-06</v>
      </c>
      <c r="B33">
        <f>SUM(AY1:AY99)</f>
        <v>-2.0167568568501927E-07</v>
      </c>
      <c r="C33">
        <f>SUM(BD1:BD49)</f>
        <v>1.3035327605879372E-08</v>
      </c>
      <c r="D33">
        <f>SUM(BI1:BI11)</f>
        <v>-3.1172254531881E-11</v>
      </c>
      <c r="E33">
        <f>SUM(BN1:BN5)</f>
        <v>2.0821930253375698E-11</v>
      </c>
      <c r="F33">
        <v>0</v>
      </c>
      <c r="J33" t="s">
        <v>122</v>
      </c>
      <c r="K33" t="s">
        <v>109</v>
      </c>
      <c r="L33" t="b">
        <f>AND(1900&lt;A2,A2&lt;=1920)</f>
        <v>0</v>
      </c>
      <c r="M33" s="5">
        <v>1.32212E-06</v>
      </c>
      <c r="N33" s="5">
        <v>3.41118275555</v>
      </c>
      <c r="O33" s="5">
        <v>2942.4634232916</v>
      </c>
      <c r="P33">
        <f t="shared" si="0"/>
        <v>-3.57438439825714E-07</v>
      </c>
      <c r="R33" s="5">
        <v>5.834E-08</v>
      </c>
      <c r="S33" s="5">
        <v>1.76649917904</v>
      </c>
      <c r="T33" s="5">
        <v>1059.3819301892</v>
      </c>
      <c r="U33">
        <f t="shared" si="1"/>
        <v>-3.475583580690233E-08</v>
      </c>
      <c r="W33" s="5">
        <v>8.87E-09</v>
      </c>
      <c r="X33" s="5">
        <v>5.23465144638</v>
      </c>
      <c r="Y33" s="5">
        <v>7084.8967811152</v>
      </c>
      <c r="Z33">
        <f t="shared" si="2"/>
        <v>-3.795135875635468E-09</v>
      </c>
      <c r="AQ33" s="5">
        <v>2.918E-08</v>
      </c>
      <c r="AR33" s="5">
        <v>1.95463881126</v>
      </c>
      <c r="AS33" s="5">
        <v>10977.078804699</v>
      </c>
      <c r="AT33">
        <f t="shared" si="5"/>
        <v>2.6308314433889547E-09</v>
      </c>
      <c r="AV33" s="5">
        <v>1.44E-09</v>
      </c>
      <c r="AW33" s="5">
        <v>1.16454655948</v>
      </c>
      <c r="AX33" s="5">
        <v>90617.7374312997</v>
      </c>
      <c r="AY33">
        <f t="shared" si="6"/>
        <v>-3.226884127378165E-10</v>
      </c>
      <c r="BA33" s="5">
        <v>1.2E-10</v>
      </c>
      <c r="BB33" s="5">
        <v>1.12953712197</v>
      </c>
      <c r="BC33" s="5">
        <v>90617.7374312997</v>
      </c>
      <c r="BD33">
        <f t="shared" si="7"/>
        <v>-2.278076762024036E-11</v>
      </c>
      <c r="BP33" s="5">
        <v>3.3193E-07</v>
      </c>
      <c r="BQ33" s="5">
        <v>0.24370300098</v>
      </c>
      <c r="BR33" s="5">
        <v>7084.8967811152</v>
      </c>
      <c r="BS33">
        <f t="shared" si="9"/>
        <v>2.493967921361489E-07</v>
      </c>
      <c r="BU33" s="5">
        <v>1.441E-08</v>
      </c>
      <c r="BV33" s="5">
        <v>0.81656250862</v>
      </c>
      <c r="BW33" s="5">
        <v>14143.4952424306</v>
      </c>
      <c r="BX33">
        <f t="shared" si="10"/>
        <v>1.9486872036988698E-09</v>
      </c>
      <c r="BZ33" s="5">
        <v>1.79E-09</v>
      </c>
      <c r="CA33" s="5">
        <v>6.02897097053</v>
      </c>
      <c r="CB33" s="5">
        <v>4292.3308329504</v>
      </c>
      <c r="CC33">
        <f t="shared" si="11"/>
        <v>-1.0370203684093863E-09</v>
      </c>
    </row>
    <row r="34" spans="10:81" ht="12.75">
      <c r="J34" t="s">
        <v>104</v>
      </c>
      <c r="K34">
        <f>K3-1900</f>
        <v>112.29166666666674</v>
      </c>
      <c r="M34" s="5">
        <v>9.7607E-07</v>
      </c>
      <c r="N34" s="5">
        <v>0.6810127227</v>
      </c>
      <c r="O34" s="5">
        <v>155.4203994342</v>
      </c>
      <c r="P34">
        <f t="shared" si="0"/>
        <v>-8.310665429316424E-07</v>
      </c>
      <c r="R34" s="5">
        <v>6.385E-08</v>
      </c>
      <c r="S34" s="5">
        <v>2.65033984967</v>
      </c>
      <c r="T34" s="5">
        <v>9437.762934887</v>
      </c>
      <c r="U34">
        <f t="shared" si="1"/>
        <v>4.273379167556287E-08</v>
      </c>
      <c r="W34" s="5">
        <v>6.45E-09</v>
      </c>
      <c r="X34" s="5">
        <v>1.60096192515</v>
      </c>
      <c r="Y34" s="5">
        <v>2544.3144198834</v>
      </c>
      <c r="Z34">
        <f t="shared" si="2"/>
        <v>9.154773178913087E-10</v>
      </c>
      <c r="AQ34" s="5">
        <v>2.797E-08</v>
      </c>
      <c r="AR34" s="5">
        <v>5.61259275048</v>
      </c>
      <c r="AS34" s="5">
        <v>11790.6290886588</v>
      </c>
      <c r="AT34">
        <f t="shared" si="5"/>
        <v>2.577511305212729E-08</v>
      </c>
      <c r="AV34" s="5">
        <v>1.37E-09</v>
      </c>
      <c r="AW34" s="5">
        <v>2.67760436027</v>
      </c>
      <c r="AX34" s="5">
        <v>6290.1893969922</v>
      </c>
      <c r="AY34">
        <f t="shared" si="6"/>
        <v>-2.608191878121651E-10</v>
      </c>
      <c r="BA34" s="5">
        <v>1.2E-10</v>
      </c>
      <c r="BB34" s="5">
        <v>5.13714452592</v>
      </c>
      <c r="BC34" s="5">
        <v>7079.3738568078</v>
      </c>
      <c r="BD34">
        <f t="shared" si="7"/>
        <v>-6.849331644843273E-11</v>
      </c>
      <c r="BP34" s="5">
        <v>3.8245E-07</v>
      </c>
      <c r="BQ34" s="5">
        <v>2.39255343974</v>
      </c>
      <c r="BR34" s="5">
        <v>8827.3902698748</v>
      </c>
      <c r="BS34">
        <f t="shared" si="9"/>
        <v>-2.569004324278411E-07</v>
      </c>
      <c r="BU34" s="5">
        <v>1.483E-08</v>
      </c>
      <c r="BV34" s="5">
        <v>3.22225357771</v>
      </c>
      <c r="BW34" s="5">
        <v>7234.794256242</v>
      </c>
      <c r="BX34">
        <f t="shared" si="10"/>
        <v>-8.542142425600448E-09</v>
      </c>
      <c r="BZ34" s="5">
        <v>1.86E-09</v>
      </c>
      <c r="CA34" s="5">
        <v>1.58690991244</v>
      </c>
      <c r="CB34" s="5">
        <v>6309.3741697912</v>
      </c>
      <c r="CC34">
        <f t="shared" si="11"/>
        <v>-1.6103070021751352E-09</v>
      </c>
    </row>
    <row r="35" spans="1:81" ht="12.75">
      <c r="A35" t="s">
        <v>45</v>
      </c>
      <c r="B35" t="s">
        <v>46</v>
      </c>
      <c r="C35" t="s">
        <v>47</v>
      </c>
      <c r="D35" t="s">
        <v>48</v>
      </c>
      <c r="E35" t="s">
        <v>49</v>
      </c>
      <c r="F35" t="s">
        <v>50</v>
      </c>
      <c r="J35" t="s">
        <v>98</v>
      </c>
      <c r="K35">
        <f>-2.79+K34*(1.494119+K34*(-0.0598939+K34*(0.0061966-0.000197*K34)))</f>
        <v>-23138.766326426223</v>
      </c>
      <c r="L35">
        <f>K35*L33</f>
        <v>0</v>
      </c>
      <c r="M35" s="5">
        <v>8.5128E-07</v>
      </c>
      <c r="N35" s="5">
        <v>1.29870743025</v>
      </c>
      <c r="O35" s="5">
        <v>6275.9623029906</v>
      </c>
      <c r="P35">
        <f t="shared" si="0"/>
        <v>-8.383737560356469E-07</v>
      </c>
      <c r="R35" s="5">
        <v>5.223E-08</v>
      </c>
      <c r="S35" s="5">
        <v>5.66135767624</v>
      </c>
      <c r="T35" s="5">
        <v>71430.695618129</v>
      </c>
      <c r="U35">
        <f t="shared" si="1"/>
        <v>-5.222026575772883E-08</v>
      </c>
      <c r="W35" s="5">
        <v>6.81E-09</v>
      </c>
      <c r="X35" s="5">
        <v>3.43155669169</v>
      </c>
      <c r="Y35" s="5">
        <v>4694.0029547076</v>
      </c>
      <c r="Z35">
        <f t="shared" si="2"/>
        <v>-1.2773356044948962E-09</v>
      </c>
      <c r="AQ35" s="5">
        <v>2.502E-08</v>
      </c>
      <c r="AR35" s="5">
        <v>0.60499729367</v>
      </c>
      <c r="AS35" s="5">
        <v>6496.3749454294</v>
      </c>
      <c r="AT35">
        <f t="shared" si="5"/>
        <v>6.6190006912860284E-09</v>
      </c>
      <c r="AV35" s="5">
        <v>1.8E-09</v>
      </c>
      <c r="AW35" s="5">
        <v>2.06509026215</v>
      </c>
      <c r="AX35" s="5">
        <v>7084.8967811152</v>
      </c>
      <c r="AY35">
        <f t="shared" si="6"/>
        <v>8.153469966672971E-10</v>
      </c>
      <c r="BA35" s="5">
        <v>1.3E-10</v>
      </c>
      <c r="BB35" s="5">
        <v>3.79842135217</v>
      </c>
      <c r="BC35" s="5">
        <v>4933.2084403326</v>
      </c>
      <c r="BD35">
        <f t="shared" si="7"/>
        <v>3.385912607921892E-12</v>
      </c>
      <c r="BP35" s="5">
        <v>2.8464E-07</v>
      </c>
      <c r="BQ35" s="5">
        <v>1.21344868176</v>
      </c>
      <c r="BR35" s="5">
        <v>6286.5989683404</v>
      </c>
      <c r="BS35">
        <f t="shared" si="9"/>
        <v>-2.8227505260944953E-07</v>
      </c>
      <c r="BU35" s="5">
        <v>1.754E-08</v>
      </c>
      <c r="BV35" s="5">
        <v>3.22883705112</v>
      </c>
      <c r="BW35" s="5">
        <v>6279.5527316424</v>
      </c>
      <c r="BX35">
        <f t="shared" si="10"/>
        <v>3.9828374974590115E-09</v>
      </c>
      <c r="BZ35" s="5">
        <v>1.7E-09</v>
      </c>
      <c r="CA35" s="5">
        <v>2.90220009715</v>
      </c>
      <c r="CB35" s="5">
        <v>9437.762934887</v>
      </c>
      <c r="CC35">
        <f t="shared" si="11"/>
        <v>1.4166613620818008E-09</v>
      </c>
    </row>
    <row r="36" spans="1:81" ht="12.75">
      <c r="A36">
        <f>SUM(BS1:BS526)</f>
        <v>1.0026226561856946</v>
      </c>
      <c r="B36">
        <f>SUM(BX1:BX292)</f>
        <v>-0.0010000133042277104</v>
      </c>
      <c r="C36">
        <f>SUM(CC1:CC139)</f>
        <v>1.2064058234583078E-05</v>
      </c>
      <c r="D36">
        <f>SUM(CH1:CH27)</f>
        <v>1.4327853633633412E-06</v>
      </c>
      <c r="E36">
        <f>SUM(CM1:CM10)</f>
        <v>-1.2677097104811003E-08</v>
      </c>
      <c r="F36">
        <f>SUM(CR1:CR3)</f>
        <v>-9.017176953589939E-10</v>
      </c>
      <c r="M36" s="5">
        <v>7.4651E-07</v>
      </c>
      <c r="N36" s="5">
        <v>1.75508916159</v>
      </c>
      <c r="O36" s="5">
        <v>5088.6288397668</v>
      </c>
      <c r="P36">
        <f t="shared" si="0"/>
        <v>1.1957313247751947E-07</v>
      </c>
      <c r="R36" s="5">
        <v>5.305E-08</v>
      </c>
      <c r="S36" s="5">
        <v>0.90857521574</v>
      </c>
      <c r="T36" s="5">
        <v>3154.6870848956</v>
      </c>
      <c r="U36">
        <f t="shared" si="1"/>
        <v>-1.9538741591195497E-08</v>
      </c>
      <c r="W36" s="5">
        <v>6.05E-09</v>
      </c>
      <c r="X36" s="5">
        <v>2.47806340546</v>
      </c>
      <c r="Y36" s="5">
        <v>10977.078804699</v>
      </c>
      <c r="Z36">
        <f t="shared" si="2"/>
        <v>3.4842014044476232E-09</v>
      </c>
      <c r="AQ36" s="5">
        <v>2.319E-08</v>
      </c>
      <c r="AR36" s="5">
        <v>5.01648216014</v>
      </c>
      <c r="AS36" s="5">
        <v>1059.3819301892</v>
      </c>
      <c r="AT36">
        <f t="shared" si="5"/>
        <v>1.574916169836073E-08</v>
      </c>
      <c r="AV36" s="5">
        <v>1.21E-09</v>
      </c>
      <c r="AW36" s="5">
        <v>5.90212574947</v>
      </c>
      <c r="AX36" s="5">
        <v>9225.539273283</v>
      </c>
      <c r="AY36">
        <f t="shared" si="6"/>
        <v>1.1878113097147278E-09</v>
      </c>
      <c r="BA36" s="5">
        <v>1.2E-10</v>
      </c>
      <c r="BB36" s="5">
        <v>4.89407978213</v>
      </c>
      <c r="BC36" s="5">
        <v>3738.761430108</v>
      </c>
      <c r="BD36">
        <f t="shared" si="7"/>
        <v>1.0296451214219381E-10</v>
      </c>
      <c r="BP36" s="5">
        <v>3.749E-07</v>
      </c>
      <c r="BQ36" s="5">
        <v>0.82952922332</v>
      </c>
      <c r="BR36" s="5">
        <v>19651.048481098</v>
      </c>
      <c r="BS36">
        <f t="shared" si="9"/>
        <v>-3.6456793728618546E-07</v>
      </c>
      <c r="BU36" s="5">
        <v>1.583E-08</v>
      </c>
      <c r="BV36" s="5">
        <v>4.09702349428</v>
      </c>
      <c r="BW36" s="5">
        <v>11499.6562227928</v>
      </c>
      <c r="BX36">
        <f t="shared" si="10"/>
        <v>1.1076877330813596E-08</v>
      </c>
      <c r="BZ36" s="5">
        <v>1.66E-09</v>
      </c>
      <c r="CA36" s="5">
        <v>1.99984925026</v>
      </c>
      <c r="CB36" s="5">
        <v>8031.0922630584</v>
      </c>
      <c r="CC36">
        <f t="shared" si="11"/>
        <v>1.6535678738306936E-09</v>
      </c>
    </row>
    <row r="37" spans="10:81" ht="12.75">
      <c r="J37" t="s">
        <v>123</v>
      </c>
      <c r="K37" t="s">
        <v>110</v>
      </c>
      <c r="L37" t="b">
        <f>AND(1920&lt;A2,A2&lt;=1941)</f>
        <v>0</v>
      </c>
      <c r="M37" s="5">
        <v>1.01895E-06</v>
      </c>
      <c r="N37" s="5">
        <v>0.97569221824</v>
      </c>
      <c r="O37" s="5">
        <v>15720.8387848784</v>
      </c>
      <c r="P37">
        <f t="shared" si="0"/>
        <v>7.411536749729262E-07</v>
      </c>
      <c r="R37" s="5">
        <v>6.101E-08</v>
      </c>
      <c r="S37" s="5">
        <v>4.66632584188</v>
      </c>
      <c r="T37" s="5">
        <v>4690.4798363586</v>
      </c>
      <c r="U37">
        <f t="shared" si="1"/>
        <v>5.143093694999266E-08</v>
      </c>
      <c r="W37" s="5">
        <v>7.06E-09</v>
      </c>
      <c r="X37" s="5">
        <v>6.19393222575</v>
      </c>
      <c r="Y37" s="5">
        <v>4690.4798363586</v>
      </c>
      <c r="Z37">
        <f t="shared" si="2"/>
        <v>4.051183624667432E-09</v>
      </c>
      <c r="AQ37" s="5">
        <v>2.684E-08</v>
      </c>
      <c r="AR37" s="5">
        <v>1.39470396488</v>
      </c>
      <c r="AS37" s="5">
        <v>22003.9146348698</v>
      </c>
      <c r="AT37">
        <f t="shared" si="5"/>
        <v>4.069686586271796E-09</v>
      </c>
      <c r="AV37" s="5">
        <v>1.5E-09</v>
      </c>
      <c r="AW37" s="5">
        <v>2.00175038718</v>
      </c>
      <c r="AX37" s="5">
        <v>5230.807466803</v>
      </c>
      <c r="AY37">
        <f t="shared" si="6"/>
        <v>-1.4492363166549112E-09</v>
      </c>
      <c r="BA37" s="5">
        <v>1.5E-10</v>
      </c>
      <c r="BB37" s="5">
        <v>6.05682328852</v>
      </c>
      <c r="BC37" s="5">
        <v>398.1490034082</v>
      </c>
      <c r="BD37">
        <f t="shared" si="7"/>
        <v>-7.438745509108735E-12</v>
      </c>
      <c r="BP37" s="5">
        <v>3.6957E-07</v>
      </c>
      <c r="BQ37" s="5">
        <v>4.90107591914</v>
      </c>
      <c r="BR37" s="5">
        <v>12139.5535091068</v>
      </c>
      <c r="BS37">
        <f t="shared" si="9"/>
        <v>-3.6937162515956195E-07</v>
      </c>
      <c r="BU37" s="5">
        <v>1.575E-08</v>
      </c>
      <c r="BV37" s="5">
        <v>5.53890170575</v>
      </c>
      <c r="BW37" s="5">
        <v>3154.6870848956</v>
      </c>
      <c r="BX37">
        <f t="shared" si="10"/>
        <v>1.5069056727547454E-08</v>
      </c>
      <c r="BZ37" s="5">
        <v>1.58E-09</v>
      </c>
      <c r="CA37" s="5">
        <v>0.04783713552</v>
      </c>
      <c r="CB37" s="5">
        <v>2544.3144198834</v>
      </c>
      <c r="CC37">
        <f t="shared" si="11"/>
        <v>1.5677227192633613E-09</v>
      </c>
    </row>
    <row r="38" spans="1:95" s="6" customFormat="1" ht="12.75">
      <c r="A38" s="6" t="s">
        <v>52</v>
      </c>
      <c r="B38" s="6" t="s">
        <v>53</v>
      </c>
      <c r="C38" s="6" t="s">
        <v>54</v>
      </c>
      <c r="D38" s="6" t="s">
        <v>55</v>
      </c>
      <c r="E38" s="6" t="s">
        <v>51</v>
      </c>
      <c r="J38" s="14" t="s">
        <v>104</v>
      </c>
      <c r="K38" s="14">
        <f>K3-1920</f>
        <v>92.29166666666674</v>
      </c>
      <c r="M38" s="5">
        <v>8.4711E-07</v>
      </c>
      <c r="N38" s="5">
        <v>3.67080093025</v>
      </c>
      <c r="O38" s="5">
        <v>71430.695618129</v>
      </c>
      <c r="P38">
        <f t="shared" si="0"/>
        <v>3.3023398285737443E-07</v>
      </c>
      <c r="R38" s="5">
        <v>4.33E-08</v>
      </c>
      <c r="S38" s="5">
        <v>0.24102555403</v>
      </c>
      <c r="T38" s="5">
        <v>6812.766815086</v>
      </c>
      <c r="U38">
        <f t="shared" si="1"/>
        <v>-2.611345965683214E-08</v>
      </c>
      <c r="W38" s="5">
        <v>6.43E-09</v>
      </c>
      <c r="X38" s="5">
        <v>1.98042503148</v>
      </c>
      <c r="Y38" s="5">
        <v>801.8209311238</v>
      </c>
      <c r="Z38">
        <f t="shared" si="2"/>
        <v>4.7490124042378356E-09</v>
      </c>
      <c r="AB38" s="5"/>
      <c r="AC38" s="5"/>
      <c r="AD38" s="5"/>
      <c r="AG38" s="5"/>
      <c r="AH38" s="5"/>
      <c r="AI38" s="5"/>
      <c r="AL38" s="5"/>
      <c r="AM38" s="5"/>
      <c r="AN38" s="5"/>
      <c r="AQ38" s="5">
        <v>2.428E-08</v>
      </c>
      <c r="AR38" s="5">
        <v>3.24183056052</v>
      </c>
      <c r="AS38" s="5">
        <v>78051.5857313169</v>
      </c>
      <c r="AT38">
        <f t="shared" si="5"/>
        <v>2.270367203141845E-08</v>
      </c>
      <c r="AV38" s="5">
        <v>1.49E-09</v>
      </c>
      <c r="AW38" s="5">
        <v>5.06157254516</v>
      </c>
      <c r="AX38" s="5">
        <v>17298.1823273262</v>
      </c>
      <c r="AY38">
        <f t="shared" si="6"/>
        <v>-1.1322115076489017E-09</v>
      </c>
      <c r="BA38" s="5">
        <v>1.4E-10</v>
      </c>
      <c r="BB38" s="5">
        <v>4.81029291856</v>
      </c>
      <c r="BC38" s="5">
        <v>4694.0029547076</v>
      </c>
      <c r="BD38">
        <f t="shared" si="7"/>
        <v>1.299743079886339E-10</v>
      </c>
      <c r="BF38" s="5"/>
      <c r="BG38" s="5"/>
      <c r="BH38" s="5"/>
      <c r="BK38" s="5"/>
      <c r="BL38" s="5"/>
      <c r="BM38" s="5"/>
      <c r="BP38" s="5">
        <v>3.4537E-07</v>
      </c>
      <c r="BQ38" s="5">
        <v>1.84270693282</v>
      </c>
      <c r="BR38" s="5">
        <v>2942.4634232916</v>
      </c>
      <c r="BS38">
        <f t="shared" si="9"/>
        <v>3.3229134317843127E-07</v>
      </c>
      <c r="BU38" s="5">
        <v>1.847E-08</v>
      </c>
      <c r="BV38" s="5">
        <v>1.82040335363</v>
      </c>
      <c r="BW38" s="5">
        <v>7632.9432596502</v>
      </c>
      <c r="BX38">
        <f t="shared" si="10"/>
        <v>4.893339474299658E-09</v>
      </c>
      <c r="BZ38" s="5">
        <v>1.97E-09</v>
      </c>
      <c r="CA38" s="5">
        <v>2.01083639502</v>
      </c>
      <c r="CB38" s="5">
        <v>1194.4470102246</v>
      </c>
      <c r="CC38">
        <f t="shared" si="11"/>
        <v>-1.1131685036464271E-09</v>
      </c>
      <c r="CE38" s="5"/>
      <c r="CF38" s="5"/>
      <c r="CG38" s="5"/>
      <c r="CJ38" s="5"/>
      <c r="CK38" s="5"/>
      <c r="CL38" s="5"/>
      <c r="CO38" s="5"/>
      <c r="CP38" s="5"/>
      <c r="CQ38" s="5"/>
    </row>
    <row r="39" spans="1:81" ht="12.75">
      <c r="A39">
        <f>((((F30*E16+E30)*E16+D30)*E16+C30)*E16+B30)*E16+A30</f>
        <v>78.94344074826807</v>
      </c>
      <c r="B39">
        <f>DEGREES(A39)</f>
        <v>4523.125975116846</v>
      </c>
      <c r="C39">
        <f>((((F33*E16+E33)*E16+D33)*E16+C33)*E16+B33)*E16+A33</f>
        <v>-1.5419689355337943E-06</v>
      </c>
      <c r="D39">
        <f>DEGREES(C39)</f>
        <v>-8.834831214636654E-05</v>
      </c>
      <c r="E39">
        <f>((((F36*E16+E36)*E16+D36)*E16+C36)*E16+B36)*E16+A36</f>
        <v>1.0026103781725115</v>
      </c>
      <c r="J39" s="14" t="s">
        <v>98</v>
      </c>
      <c r="K39">
        <f>21.2+K38*(0.84493+K38*(-0.0761+0.0020936*K38))</f>
        <v>1096.794697128186</v>
      </c>
      <c r="L39">
        <f>K39*L37</f>
        <v>0</v>
      </c>
      <c r="M39" s="5">
        <v>7.3547E-07</v>
      </c>
      <c r="N39" s="5">
        <v>4.67926565481</v>
      </c>
      <c r="O39" s="5">
        <v>801.8209311238</v>
      </c>
      <c r="P39">
        <f t="shared" si="0"/>
        <v>-2.783898579929737E-07</v>
      </c>
      <c r="R39" s="5">
        <v>5.041E-08</v>
      </c>
      <c r="S39" s="5">
        <v>1.42490103709</v>
      </c>
      <c r="T39" s="5">
        <v>6438.4962494256</v>
      </c>
      <c r="U39">
        <f t="shared" si="1"/>
        <v>1.8553261014461054E-08</v>
      </c>
      <c r="W39" s="5">
        <v>5.02E-09</v>
      </c>
      <c r="X39" s="5">
        <v>1.44394375363</v>
      </c>
      <c r="Y39" s="5">
        <v>6836.6452528338</v>
      </c>
      <c r="Z39">
        <f t="shared" si="2"/>
        <v>-4.219011396987282E-09</v>
      </c>
      <c r="AQ39" s="5">
        <v>2.12E-08</v>
      </c>
      <c r="AR39" s="5">
        <v>4.30691000285</v>
      </c>
      <c r="AS39" s="5">
        <v>5643.1785636774</v>
      </c>
      <c r="AT39">
        <f t="shared" si="5"/>
        <v>-4.712034620258564E-09</v>
      </c>
      <c r="AV39" s="5">
        <v>1.18E-09</v>
      </c>
      <c r="AW39" s="5">
        <v>5.39979058038</v>
      </c>
      <c r="AX39" s="5">
        <v>3340.6124266998</v>
      </c>
      <c r="AY39">
        <f t="shared" si="6"/>
        <v>-9.0062908133912E-10</v>
      </c>
      <c r="BA39" s="5">
        <v>1.1E-10</v>
      </c>
      <c r="BB39" s="5">
        <v>0.61684523405</v>
      </c>
      <c r="BC39" s="5">
        <v>3128.3887650958</v>
      </c>
      <c r="BD39">
        <f t="shared" si="7"/>
        <v>2.5877549237008654E-11</v>
      </c>
      <c r="BP39" s="5">
        <v>2.6275E-07</v>
      </c>
      <c r="BQ39" s="5">
        <v>4.58896850401</v>
      </c>
      <c r="BR39" s="5">
        <v>10447.3878396044</v>
      </c>
      <c r="BS39">
        <f t="shared" si="9"/>
        <v>1.5653928894843807E-07</v>
      </c>
      <c r="BU39" s="5">
        <v>1.504E-08</v>
      </c>
      <c r="BV39" s="5">
        <v>3.63293385726</v>
      </c>
      <c r="BW39" s="5">
        <v>11513.8833167944</v>
      </c>
      <c r="BX39">
        <f t="shared" si="10"/>
        <v>1.3152585722940005E-08</v>
      </c>
      <c r="BZ39" s="5">
        <v>1.65E-09</v>
      </c>
      <c r="CA39" s="5">
        <v>5.78372596778</v>
      </c>
      <c r="CB39" s="5">
        <v>83996.8473181118</v>
      </c>
      <c r="CC39">
        <f t="shared" si="11"/>
        <v>1.438534662058001E-09</v>
      </c>
    </row>
    <row r="40" spans="1:81" ht="12.75">
      <c r="A40">
        <f>RADIANS(B40)</f>
        <v>3.5452170621130423</v>
      </c>
      <c r="B40">
        <f>B39-INT(B39/360)*360</f>
        <v>203.12597511684635</v>
      </c>
      <c r="C40">
        <f>RADIANS(D40)</f>
        <v>6.283183765210651</v>
      </c>
      <c r="D40">
        <f>D39-INT(D39/360)*360</f>
        <v>359.99991165168785</v>
      </c>
      <c r="M40" s="5">
        <v>7.3874E-07</v>
      </c>
      <c r="N40" s="5">
        <v>3.50319443167</v>
      </c>
      <c r="O40" s="5">
        <v>3154.6870848956</v>
      </c>
      <c r="P40">
        <f t="shared" si="0"/>
        <v>-1.2482520026992435E-07</v>
      </c>
      <c r="R40" s="5">
        <v>4.259E-08</v>
      </c>
      <c r="S40" s="5">
        <v>0.77355900599</v>
      </c>
      <c r="T40" s="5">
        <v>10447.3878396044</v>
      </c>
      <c r="U40">
        <f t="shared" si="1"/>
        <v>-4.1172181142680345E-08</v>
      </c>
      <c r="W40" s="5">
        <v>4.9E-09</v>
      </c>
      <c r="X40" s="5">
        <v>2.34129524194</v>
      </c>
      <c r="Y40" s="5">
        <v>1592.5960136328</v>
      </c>
      <c r="Z40">
        <f t="shared" si="2"/>
        <v>-4.878689726447232E-09</v>
      </c>
      <c r="AQ40" s="5">
        <v>2.257E-08</v>
      </c>
      <c r="AR40" s="5">
        <v>3.15557225618</v>
      </c>
      <c r="AS40" s="5">
        <v>90617.7374312997</v>
      </c>
      <c r="AT40">
        <f t="shared" si="5"/>
        <v>-1.80188733405403E-08</v>
      </c>
      <c r="AV40" s="5">
        <v>1.61E-09</v>
      </c>
      <c r="AW40" s="5">
        <v>3.32421999691</v>
      </c>
      <c r="AX40" s="5">
        <v>6283.3196674749</v>
      </c>
      <c r="AY40">
        <f t="shared" si="6"/>
        <v>5.832656205996082E-10</v>
      </c>
      <c r="BA40" s="5">
        <v>1.1E-10</v>
      </c>
      <c r="BB40" s="5">
        <v>5.328765385</v>
      </c>
      <c r="BC40" s="5">
        <v>6040.3472460174</v>
      </c>
      <c r="BD40">
        <f t="shared" si="7"/>
        <v>-6.286807660844723E-11</v>
      </c>
      <c r="BP40" s="5">
        <v>2.4596E-07</v>
      </c>
      <c r="BQ40" s="5">
        <v>3.78660875483</v>
      </c>
      <c r="BR40" s="5">
        <v>8429.2412664666</v>
      </c>
      <c r="BS40">
        <f t="shared" si="9"/>
        <v>2.180773881149789E-07</v>
      </c>
      <c r="BU40" s="5">
        <v>1.337E-08</v>
      </c>
      <c r="BV40" s="5">
        <v>4.64440864339</v>
      </c>
      <c r="BW40" s="5">
        <v>6836.6452528338</v>
      </c>
      <c r="BX40">
        <f t="shared" si="10"/>
        <v>1.079092454729312E-08</v>
      </c>
      <c r="BZ40" s="5">
        <v>2.14E-09</v>
      </c>
      <c r="CA40" s="5">
        <v>3.38285934319</v>
      </c>
      <c r="CB40" s="5">
        <v>7632.9432596502</v>
      </c>
      <c r="CC40">
        <f t="shared" si="11"/>
        <v>-2.0587297913023554E-09</v>
      </c>
    </row>
    <row r="41" spans="10:81" ht="12.75">
      <c r="J41" t="s">
        <v>124</v>
      </c>
      <c r="K41" t="s">
        <v>111</v>
      </c>
      <c r="L41" t="b">
        <f>AND(1941&lt;A2,A2&lt;=1961)</f>
        <v>0</v>
      </c>
      <c r="M41" s="5">
        <v>7.8756E-07</v>
      </c>
      <c r="N41" s="5">
        <v>3.03698313141</v>
      </c>
      <c r="O41" s="5">
        <v>12036.4607348882</v>
      </c>
      <c r="P41">
        <f t="shared" si="0"/>
        <v>7.867866078998218E-07</v>
      </c>
      <c r="R41" s="5">
        <v>5.198E-08</v>
      </c>
      <c r="S41" s="5">
        <v>1.85353197345</v>
      </c>
      <c r="T41" s="5">
        <v>801.8209311238</v>
      </c>
      <c r="U41">
        <f t="shared" si="1"/>
        <v>3.3647388399849064E-08</v>
      </c>
      <c r="W41" s="5">
        <v>4.58E-09</v>
      </c>
      <c r="X41" s="5">
        <v>1.30876448575</v>
      </c>
      <c r="Y41" s="5">
        <v>4292.3308329504</v>
      </c>
      <c r="Z41">
        <f t="shared" si="2"/>
        <v>-3.753719141036427E-09</v>
      </c>
      <c r="AQ41" s="5">
        <v>1.813E-08</v>
      </c>
      <c r="AR41" s="5">
        <v>3.75574218285</v>
      </c>
      <c r="AS41" s="5">
        <v>3340.6124266998</v>
      </c>
      <c r="AT41">
        <f t="shared" si="5"/>
        <v>1.2695274923371248E-08</v>
      </c>
      <c r="AV41" s="5">
        <v>1.21E-09</v>
      </c>
      <c r="AW41" s="5">
        <v>4.36722193162</v>
      </c>
      <c r="AX41" s="5">
        <v>19651.048481098</v>
      </c>
      <c r="AY41">
        <f t="shared" si="6"/>
        <v>9.767021419129523E-10</v>
      </c>
      <c r="BA41" s="5">
        <v>1.4E-10</v>
      </c>
      <c r="BB41" s="5">
        <v>5.27227350286</v>
      </c>
      <c r="BC41" s="5">
        <v>4535.0594369244</v>
      </c>
      <c r="BD41">
        <f t="shared" si="7"/>
        <v>-4.133840583222548E-11</v>
      </c>
      <c r="BP41" s="5">
        <v>2.3587E-07</v>
      </c>
      <c r="BQ41" s="5">
        <v>0.26866117066</v>
      </c>
      <c r="BR41" s="5">
        <v>796.2980068164</v>
      </c>
      <c r="BS41">
        <f t="shared" si="9"/>
        <v>-1.9167286882705032E-07</v>
      </c>
      <c r="BU41" s="5">
        <v>1.275E-08</v>
      </c>
      <c r="BV41" s="5">
        <v>2.69341415363</v>
      </c>
      <c r="BW41" s="5">
        <v>1349.8674096588</v>
      </c>
      <c r="BX41">
        <f t="shared" si="10"/>
        <v>1.164299246949541E-08</v>
      </c>
      <c r="BZ41" s="5">
        <v>1.4E-09</v>
      </c>
      <c r="CA41" s="5">
        <v>0.36401486094</v>
      </c>
      <c r="CB41" s="5">
        <v>10447.3878396044</v>
      </c>
      <c r="CC41">
        <f t="shared" si="11"/>
        <v>-1.3841133551472413E-09</v>
      </c>
    </row>
    <row r="42" spans="1:81" ht="12.75">
      <c r="A42" s="4" t="s">
        <v>9</v>
      </c>
      <c r="B42" s="9" t="s">
        <v>56</v>
      </c>
      <c r="C42" s="4" t="s">
        <v>9</v>
      </c>
      <c r="D42" s="4" t="s">
        <v>9</v>
      </c>
      <c r="E42" s="4" t="s">
        <v>9</v>
      </c>
      <c r="F42" s="4" t="s">
        <v>9</v>
      </c>
      <c r="J42" t="s">
        <v>104</v>
      </c>
      <c r="K42">
        <f>K3-1950</f>
        <v>62.29166666666674</v>
      </c>
      <c r="M42" s="5">
        <v>7.9637E-07</v>
      </c>
      <c r="N42" s="5">
        <v>1.807913307</v>
      </c>
      <c r="O42" s="5">
        <v>17260.1546546904</v>
      </c>
      <c r="P42">
        <f t="shared" si="0"/>
        <v>7.897894165628363E-07</v>
      </c>
      <c r="R42" s="5">
        <v>3.744E-08</v>
      </c>
      <c r="S42" s="5">
        <v>2.00119516488</v>
      </c>
      <c r="T42" s="5">
        <v>8031.0922630584</v>
      </c>
      <c r="U42">
        <f t="shared" si="1"/>
        <v>3.729046295193329E-08</v>
      </c>
      <c r="W42" s="5">
        <v>4.31E-09</v>
      </c>
      <c r="X42" s="5">
        <v>0.03526421494</v>
      </c>
      <c r="Y42" s="5">
        <v>7234.794256242</v>
      </c>
      <c r="Z42">
        <f t="shared" si="2"/>
        <v>2.639907003411248E-09</v>
      </c>
      <c r="AQ42" s="5">
        <v>2.226E-08</v>
      </c>
      <c r="AR42" s="5">
        <v>2.79699346659</v>
      </c>
      <c r="AS42" s="5">
        <v>12036.4607348882</v>
      </c>
      <c r="AT42">
        <f t="shared" si="5"/>
        <v>2.1835231701952582E-08</v>
      </c>
      <c r="AV42" s="5">
        <v>1.16E-09</v>
      </c>
      <c r="AW42" s="5">
        <v>5.83462858507</v>
      </c>
      <c r="AX42" s="5">
        <v>4705.7323075436</v>
      </c>
      <c r="AY42">
        <f t="shared" si="6"/>
        <v>8.18416992142709E-10</v>
      </c>
      <c r="BA42" s="5">
        <v>1.1E-10</v>
      </c>
      <c r="BB42" s="5">
        <v>2.39292099451</v>
      </c>
      <c r="BC42" s="5">
        <v>5331.3574437408</v>
      </c>
      <c r="BD42">
        <f t="shared" si="7"/>
        <v>3.4184128760747705E-11</v>
      </c>
      <c r="BP42" s="5">
        <v>2.7793E-07</v>
      </c>
      <c r="BQ42" s="5">
        <v>1.89934330904</v>
      </c>
      <c r="BR42" s="5">
        <v>6279.5527316424</v>
      </c>
      <c r="BS42">
        <f t="shared" si="9"/>
        <v>-2.4774668838649153E-07</v>
      </c>
      <c r="BU42" s="5">
        <v>1.352E-08</v>
      </c>
      <c r="BV42" s="5">
        <v>6.15101580257</v>
      </c>
      <c r="BW42" s="5">
        <v>5746.271337896</v>
      </c>
      <c r="BX42">
        <f t="shared" si="10"/>
        <v>3.4192431476050926E-09</v>
      </c>
      <c r="BZ42" s="5">
        <v>1.51E-09</v>
      </c>
      <c r="CA42" s="5">
        <v>0.95153163031</v>
      </c>
      <c r="CB42" s="5">
        <v>6127.6554505572</v>
      </c>
      <c r="CC42">
        <f t="shared" si="11"/>
        <v>1.0532130436959501E-09</v>
      </c>
    </row>
    <row r="43" spans="10:81" ht="12.75">
      <c r="J43" t="s">
        <v>98</v>
      </c>
      <c r="K43">
        <f>29.07+K42*(0.407+K42*(-1/233+K42/2547))</f>
        <v>132.668108288656</v>
      </c>
      <c r="L43">
        <f>K43*L41</f>
        <v>0</v>
      </c>
      <c r="M43" s="5">
        <v>8.5803E-07</v>
      </c>
      <c r="N43" s="5">
        <v>5.98322631256</v>
      </c>
      <c r="O43" s="5">
        <v>161000.685737674</v>
      </c>
      <c r="P43">
        <f t="shared" si="0"/>
        <v>-6.705068395262924E-07</v>
      </c>
      <c r="R43" s="5">
        <v>3.558E-08</v>
      </c>
      <c r="S43" s="5">
        <v>2.42901552681</v>
      </c>
      <c r="T43" s="5">
        <v>14143.4952424306</v>
      </c>
      <c r="U43">
        <f t="shared" si="1"/>
        <v>3.502220523938264E-08</v>
      </c>
      <c r="W43" s="5">
        <v>3.79E-09</v>
      </c>
      <c r="X43" s="5">
        <v>3.17030522615</v>
      </c>
      <c r="Y43" s="5">
        <v>6309.3741697912</v>
      </c>
      <c r="Z43">
        <f t="shared" si="2"/>
        <v>1.937952802765663E-09</v>
      </c>
      <c r="AQ43" s="5">
        <v>1.888E-08</v>
      </c>
      <c r="AR43" s="5">
        <v>0.86991545823</v>
      </c>
      <c r="AS43" s="5">
        <v>8635.9420037632</v>
      </c>
      <c r="AT43">
        <f t="shared" si="5"/>
        <v>1.878129944907807E-08</v>
      </c>
      <c r="AV43" s="5">
        <v>1.28E-09</v>
      </c>
      <c r="AW43" s="5">
        <v>4.35489873365</v>
      </c>
      <c r="AX43" s="5">
        <v>25934.1243310894</v>
      </c>
      <c r="AY43">
        <f t="shared" si="6"/>
        <v>-9.219371614893403E-10</v>
      </c>
      <c r="BA43" s="5">
        <v>1E-10</v>
      </c>
      <c r="BB43" s="5">
        <v>4.4529653271</v>
      </c>
      <c r="BC43" s="5">
        <v>6525.8044539654</v>
      </c>
      <c r="BD43">
        <f t="shared" si="7"/>
        <v>-9.724442932231345E-11</v>
      </c>
      <c r="BP43" s="5">
        <v>2.3927E-07</v>
      </c>
      <c r="BQ43" s="5">
        <v>4.99598548138</v>
      </c>
      <c r="BR43" s="5">
        <v>5856.4776591154</v>
      </c>
      <c r="BS43">
        <f t="shared" si="9"/>
        <v>1.3729447954943921E-08</v>
      </c>
      <c r="BU43" s="5">
        <v>1.125E-08</v>
      </c>
      <c r="BV43" s="5">
        <v>3.35673439497</v>
      </c>
      <c r="BW43" s="5">
        <v>17789.845619785</v>
      </c>
      <c r="BX43">
        <f t="shared" si="10"/>
        <v>-3.623279996151044E-09</v>
      </c>
      <c r="BZ43" s="5">
        <v>1.36E-09</v>
      </c>
      <c r="CA43" s="5">
        <v>1.48426306582</v>
      </c>
      <c r="CB43" s="5">
        <v>2352.8661537718</v>
      </c>
      <c r="CC43">
        <f t="shared" si="11"/>
        <v>6.893510073255332E-10</v>
      </c>
    </row>
    <row r="44" spans="1:81" ht="12.75">
      <c r="A44" t="s">
        <v>57</v>
      </c>
      <c r="B44" t="s">
        <v>58</v>
      </c>
      <c r="C44" t="s">
        <v>75</v>
      </c>
      <c r="M44" s="5">
        <v>5.6963E-07</v>
      </c>
      <c r="N44" s="5">
        <v>2.78430398043</v>
      </c>
      <c r="O44" s="5">
        <v>6286.5989683404</v>
      </c>
      <c r="P44">
        <f t="shared" si="0"/>
        <v>-7.324351445993848E-08</v>
      </c>
      <c r="R44" s="5">
        <v>3.372E-08</v>
      </c>
      <c r="S44" s="5">
        <v>3.86210700128</v>
      </c>
      <c r="T44" s="5">
        <v>1592.5960136328</v>
      </c>
      <c r="U44">
        <f t="shared" si="1"/>
        <v>-4.814949522439775E-09</v>
      </c>
      <c r="W44" s="5">
        <v>3.48E-09</v>
      </c>
      <c r="X44" s="5">
        <v>0.99049550009</v>
      </c>
      <c r="Y44" s="5">
        <v>6040.3472460174</v>
      </c>
      <c r="Z44">
        <f t="shared" si="2"/>
        <v>3.3849586074396176E-09</v>
      </c>
      <c r="AQ44" s="5">
        <v>1.517E-08</v>
      </c>
      <c r="AR44" s="5">
        <v>1.95852055701</v>
      </c>
      <c r="AS44" s="5">
        <v>398.1490034082</v>
      </c>
      <c r="AT44">
        <f t="shared" si="5"/>
        <v>1.2816677472467665E-08</v>
      </c>
      <c r="AV44" s="5">
        <v>1.43E-09</v>
      </c>
      <c r="AW44" s="5">
        <v>0</v>
      </c>
      <c r="AX44" s="5">
        <v>0</v>
      </c>
      <c r="AY44">
        <f t="shared" si="6"/>
        <v>1.43E-09</v>
      </c>
      <c r="BA44" s="5">
        <v>1.4E-10</v>
      </c>
      <c r="BB44" s="5">
        <v>4.66400985037</v>
      </c>
      <c r="BC44" s="5">
        <v>8031.0922630584</v>
      </c>
      <c r="BD44">
        <f t="shared" si="7"/>
        <v>-1.2952066490161227E-10</v>
      </c>
      <c r="BP44" s="5">
        <v>2.0349E-07</v>
      </c>
      <c r="BQ44" s="5">
        <v>4.65267995431</v>
      </c>
      <c r="BR44" s="5">
        <v>2146.1654164752</v>
      </c>
      <c r="BS44">
        <f t="shared" si="9"/>
        <v>1.8670269453714423E-07</v>
      </c>
      <c r="BU44" s="5">
        <v>1.47E-08</v>
      </c>
      <c r="BV44" s="5">
        <v>3.65282991755</v>
      </c>
      <c r="BW44" s="5">
        <v>1194.4470102246</v>
      </c>
      <c r="BX44">
        <f t="shared" si="10"/>
        <v>1.2688396218500429E-08</v>
      </c>
      <c r="BZ44" s="5">
        <v>1.27E-09</v>
      </c>
      <c r="CA44" s="5">
        <v>5.48475435134</v>
      </c>
      <c r="CB44" s="5">
        <v>951.7184062506</v>
      </c>
      <c r="CC44">
        <f t="shared" si="11"/>
        <v>-1.359032821167903E-10</v>
      </c>
    </row>
    <row r="45" spans="1:81" ht="12.75">
      <c r="A45">
        <f>RADIANS(B45)</f>
        <v>6.686809715702836</v>
      </c>
      <c r="B45">
        <f>B40+180</f>
        <v>383.12597511684635</v>
      </c>
      <c r="C45">
        <f>959.63/E39/60</f>
        <v>15.95219207932575</v>
      </c>
      <c r="J45" t="s">
        <v>125</v>
      </c>
      <c r="K45" t="s">
        <v>112</v>
      </c>
      <c r="L45" t="b">
        <f>AND(1961&lt;A2,A2&lt;=1986)</f>
        <v>0</v>
      </c>
      <c r="M45" s="5">
        <v>6.1148E-07</v>
      </c>
      <c r="N45" s="5">
        <v>1.81839811024</v>
      </c>
      <c r="O45" s="5">
        <v>7084.8967811152</v>
      </c>
      <c r="P45">
        <f t="shared" si="0"/>
        <v>4.017212473400592E-07</v>
      </c>
      <c r="R45" s="5">
        <v>3.374E-08</v>
      </c>
      <c r="S45" s="5">
        <v>0.88776219727</v>
      </c>
      <c r="T45" s="5">
        <v>12036.4607348882</v>
      </c>
      <c r="U45">
        <f t="shared" si="1"/>
        <v>-1.717601441221179E-08</v>
      </c>
      <c r="W45" s="5">
        <v>3.86E-09</v>
      </c>
      <c r="X45" s="5">
        <v>1.57019797263</v>
      </c>
      <c r="Y45" s="5">
        <v>71430.695618129</v>
      </c>
      <c r="Z45">
        <f t="shared" si="2"/>
        <v>2.3068341591468235E-09</v>
      </c>
      <c r="AQ45" s="5">
        <v>1.581E-08</v>
      </c>
      <c r="AR45" s="5">
        <v>3.19976230948</v>
      </c>
      <c r="AS45" s="5">
        <v>5088.6288397668</v>
      </c>
      <c r="AT45">
        <f t="shared" si="5"/>
        <v>-1.5163364515059356E-08</v>
      </c>
      <c r="AV45" s="5">
        <v>1.09E-09</v>
      </c>
      <c r="AW45" s="5">
        <v>2.52157834166</v>
      </c>
      <c r="AX45" s="5">
        <v>6438.4962494256</v>
      </c>
      <c r="AY45">
        <f t="shared" si="6"/>
        <v>1.084853809685619E-09</v>
      </c>
      <c r="BA45" s="5">
        <v>1E-10</v>
      </c>
      <c r="BB45" s="5">
        <v>3.22472385926</v>
      </c>
      <c r="BC45" s="5">
        <v>9437.762934887</v>
      </c>
      <c r="BD45">
        <f t="shared" si="7"/>
        <v>9.655708481180925E-11</v>
      </c>
      <c r="BP45" s="5">
        <v>2.3287E-07</v>
      </c>
      <c r="BQ45" s="5">
        <v>2.80783650928</v>
      </c>
      <c r="BR45" s="5">
        <v>14143.4952424306</v>
      </c>
      <c r="BS45">
        <f t="shared" si="9"/>
        <v>1.977781584510721E-07</v>
      </c>
      <c r="BU45" s="5">
        <v>1.177E-08</v>
      </c>
      <c r="BV45" s="5">
        <v>2.57676109092</v>
      </c>
      <c r="BW45" s="5">
        <v>13367.9726311066</v>
      </c>
      <c r="BX45">
        <f t="shared" si="10"/>
        <v>-1.1468940045952253E-08</v>
      </c>
      <c r="BZ45" s="5">
        <v>1.26E-09</v>
      </c>
      <c r="CA45" s="5">
        <v>5.26866506592</v>
      </c>
      <c r="CB45" s="5">
        <v>6279.5527316424</v>
      </c>
      <c r="CC45">
        <f t="shared" si="11"/>
        <v>9.652404904122356E-10</v>
      </c>
    </row>
    <row r="46" spans="10:81" ht="12.75">
      <c r="J46" t="s">
        <v>104</v>
      </c>
      <c r="K46">
        <f>K3-1975</f>
        <v>37.29166666666674</v>
      </c>
      <c r="M46" s="5">
        <v>6.9627E-07</v>
      </c>
      <c r="N46" s="5">
        <v>0.83297596966</v>
      </c>
      <c r="O46" s="5">
        <v>9437.762934887</v>
      </c>
      <c r="P46">
        <f t="shared" si="0"/>
        <v>-6.154272851649797E-07</v>
      </c>
      <c r="R46" s="5">
        <v>3.175E-08</v>
      </c>
      <c r="S46" s="5">
        <v>3.18785710594</v>
      </c>
      <c r="T46" s="5">
        <v>4705.7323075436</v>
      </c>
      <c r="U46">
        <f t="shared" si="1"/>
        <v>-9.028838661737574E-09</v>
      </c>
      <c r="W46" s="5">
        <v>3.47E-09</v>
      </c>
      <c r="X46" s="5">
        <v>0.67013291338</v>
      </c>
      <c r="Y46" s="5">
        <v>1059.3819301892</v>
      </c>
      <c r="Z46">
        <f t="shared" si="2"/>
        <v>1.5348129897525622E-09</v>
      </c>
      <c r="AQ46" s="5">
        <v>1.421E-08</v>
      </c>
      <c r="AR46" s="5">
        <v>6.25530883827</v>
      </c>
      <c r="AS46" s="5">
        <v>2544.3144198834</v>
      </c>
      <c r="AT46">
        <f t="shared" si="5"/>
        <v>1.3925453156637858E-08</v>
      </c>
      <c r="AV46" s="5">
        <v>9.9E-10</v>
      </c>
      <c r="AW46" s="5">
        <v>2.70727488041</v>
      </c>
      <c r="AX46" s="5">
        <v>5216.5803728014</v>
      </c>
      <c r="AY46">
        <f t="shared" si="6"/>
        <v>-6.955940958447529E-10</v>
      </c>
      <c r="BA46" s="5">
        <v>1.1E-10</v>
      </c>
      <c r="BB46" s="5">
        <v>3.80913404437</v>
      </c>
      <c r="BC46" s="5">
        <v>801.8209311238</v>
      </c>
      <c r="BD46">
        <f t="shared" si="7"/>
        <v>5.0984427971890695E-11</v>
      </c>
      <c r="BP46" s="5">
        <v>2.2103E-07</v>
      </c>
      <c r="BQ46" s="5">
        <v>1.95004702988</v>
      </c>
      <c r="BR46" s="5">
        <v>3154.6870848956</v>
      </c>
      <c r="BS46">
        <f t="shared" si="9"/>
        <v>-2.1847701878178795E-07</v>
      </c>
      <c r="BU46" s="5">
        <v>1.101E-08</v>
      </c>
      <c r="BV46" s="5">
        <v>4.49748696552</v>
      </c>
      <c r="BW46" s="5">
        <v>4292.3308329504</v>
      </c>
      <c r="BX46">
        <f t="shared" si="10"/>
        <v>8.71646452336971E-09</v>
      </c>
      <c r="BZ46" s="5">
        <v>1.25E-09</v>
      </c>
      <c r="CA46" s="5">
        <v>3.75754889288</v>
      </c>
      <c r="CB46" s="5">
        <v>6812.766815086</v>
      </c>
      <c r="CC46">
        <f t="shared" si="11"/>
        <v>1.066630464566725E-09</v>
      </c>
    </row>
    <row r="47" spans="1:81" ht="12.75">
      <c r="A47" s="4" t="s">
        <v>9</v>
      </c>
      <c r="B47" s="9" t="s">
        <v>59</v>
      </c>
      <c r="C47" s="4" t="s">
        <v>9</v>
      </c>
      <c r="D47" s="4" t="s">
        <v>9</v>
      </c>
      <c r="E47" s="4" t="s">
        <v>9</v>
      </c>
      <c r="F47" s="4" t="s">
        <v>9</v>
      </c>
      <c r="J47" t="s">
        <v>98</v>
      </c>
      <c r="K47">
        <f>45.45+K46*(1.067+K46*(-1/260-K46/718))</f>
        <v>7.662594403288772</v>
      </c>
      <c r="L47">
        <f>K47*L45</f>
        <v>0</v>
      </c>
      <c r="M47" s="5">
        <v>5.6116E-07</v>
      </c>
      <c r="N47" s="5">
        <v>4.38694880779</v>
      </c>
      <c r="O47" s="5">
        <v>14143.4952424306</v>
      </c>
      <c r="P47">
        <f t="shared" si="0"/>
        <v>-3.001888792478993E-07</v>
      </c>
      <c r="R47" s="5">
        <v>3.221E-08</v>
      </c>
      <c r="S47" s="5">
        <v>0.61599835472</v>
      </c>
      <c r="T47" s="5">
        <v>8429.2412664666</v>
      </c>
      <c r="U47">
        <f t="shared" si="1"/>
        <v>-2.8978762358693407E-08</v>
      </c>
      <c r="W47" s="5">
        <v>4.58E-09</v>
      </c>
      <c r="X47" s="5">
        <v>3.81499443681</v>
      </c>
      <c r="Y47" s="5">
        <v>149854.400134807</v>
      </c>
      <c r="Z47">
        <f t="shared" si="2"/>
        <v>-4.537041996582713E-09</v>
      </c>
      <c r="AQ47" s="5">
        <v>1.595E-08</v>
      </c>
      <c r="AR47" s="5">
        <v>0.25619915135</v>
      </c>
      <c r="AS47" s="5">
        <v>17298.1823273262</v>
      </c>
      <c r="AT47">
        <f t="shared" si="5"/>
        <v>9.198494044825172E-09</v>
      </c>
      <c r="AV47" s="5">
        <v>1.03E-09</v>
      </c>
      <c r="AW47" s="5">
        <v>0.93782340879</v>
      </c>
      <c r="AX47" s="5">
        <v>8827.3902698748</v>
      </c>
      <c r="AY47">
        <f t="shared" si="6"/>
        <v>-8.380159535366065E-10</v>
      </c>
      <c r="BA47" s="5">
        <v>1E-10</v>
      </c>
      <c r="BB47" s="5">
        <v>5.15032130575</v>
      </c>
      <c r="BC47" s="5">
        <v>11371.7046897582</v>
      </c>
      <c r="BD47">
        <f t="shared" si="7"/>
        <v>9.616450635936217E-11</v>
      </c>
      <c r="BP47" s="5">
        <v>1.9506E-07</v>
      </c>
      <c r="BQ47" s="5">
        <v>5.38227371393</v>
      </c>
      <c r="BR47" s="5">
        <v>2352.8661537718</v>
      </c>
      <c r="BS47">
        <f t="shared" si="9"/>
        <v>-1.8731061749580223E-07</v>
      </c>
      <c r="BU47" s="5">
        <v>1.234E-08</v>
      </c>
      <c r="BV47" s="5">
        <v>5.65036509521</v>
      </c>
      <c r="BW47" s="5">
        <v>5760.4984318976</v>
      </c>
      <c r="BX47">
        <f t="shared" si="10"/>
        <v>6.779388662798049E-09</v>
      </c>
      <c r="BZ47" s="5">
        <v>1.01E-09</v>
      </c>
      <c r="CA47" s="5">
        <v>4.95015746147</v>
      </c>
      <c r="CB47" s="5">
        <v>398.1490034082</v>
      </c>
      <c r="CC47">
        <f t="shared" si="11"/>
        <v>-9.244634483890311E-10</v>
      </c>
    </row>
    <row r="48" spans="13:81" ht="12.75">
      <c r="M48" s="5">
        <v>6.2449E-07</v>
      </c>
      <c r="N48" s="5">
        <v>3.97763880587</v>
      </c>
      <c r="O48" s="5">
        <v>8827.3902698748</v>
      </c>
      <c r="P48">
        <f t="shared" si="0"/>
        <v>4.6857033538561976E-07</v>
      </c>
      <c r="R48" s="5">
        <v>4.132E-08</v>
      </c>
      <c r="S48" s="5">
        <v>5.23992859705</v>
      </c>
      <c r="T48" s="5">
        <v>7084.8967811152</v>
      </c>
      <c r="U48">
        <f t="shared" si="1"/>
        <v>-1.7481927399444125E-08</v>
      </c>
      <c r="W48" s="5">
        <v>3.02E-09</v>
      </c>
      <c r="X48" s="5">
        <v>1.91760044838</v>
      </c>
      <c r="Y48" s="5">
        <v>10447.3878396044</v>
      </c>
      <c r="Z48">
        <f t="shared" si="2"/>
        <v>-5.049852238215559E-10</v>
      </c>
      <c r="AQ48" s="5">
        <v>1.391E-08</v>
      </c>
      <c r="AR48" s="5">
        <v>4.69964175561</v>
      </c>
      <c r="AS48" s="5">
        <v>7058.5984613154</v>
      </c>
      <c r="AT48">
        <f t="shared" si="5"/>
        <v>-1.3403356316351677E-08</v>
      </c>
      <c r="AV48" s="5">
        <v>8.2E-10</v>
      </c>
      <c r="AW48" s="5">
        <v>4.2921468039</v>
      </c>
      <c r="AX48" s="5">
        <v>8635.9420037632</v>
      </c>
      <c r="AY48">
        <f t="shared" si="6"/>
        <v>-7.606087963816514E-10</v>
      </c>
      <c r="BA48" s="5">
        <v>1.3E-10</v>
      </c>
      <c r="BB48" s="5">
        <v>0.98720797401</v>
      </c>
      <c r="BC48" s="5">
        <v>5729.506447149</v>
      </c>
      <c r="BD48">
        <f t="shared" si="7"/>
        <v>-7.94822403758571E-11</v>
      </c>
      <c r="BP48" s="5">
        <v>1.7958E-07</v>
      </c>
      <c r="BQ48" s="5">
        <v>0.19871379385</v>
      </c>
      <c r="BR48" s="5">
        <v>6812.766815086</v>
      </c>
      <c r="BS48">
        <f t="shared" si="9"/>
        <v>-1.0214533939128615E-07</v>
      </c>
      <c r="BU48" s="5">
        <v>9.84E-09</v>
      </c>
      <c r="BV48" s="5">
        <v>0.65517395136</v>
      </c>
      <c r="BW48" s="5">
        <v>5856.4776591154</v>
      </c>
      <c r="BX48">
        <f t="shared" si="10"/>
        <v>-9.358377618273296E-09</v>
      </c>
      <c r="BZ48" s="5">
        <v>1.02E-09</v>
      </c>
      <c r="CA48" s="5">
        <v>0.68468295277</v>
      </c>
      <c r="CB48" s="5">
        <v>1592.5960136328</v>
      </c>
      <c r="CC48">
        <f t="shared" si="11"/>
        <v>1.8172021589225517E-10</v>
      </c>
    </row>
    <row r="49" spans="1:81" ht="12.75">
      <c r="A49" t="s">
        <v>60</v>
      </c>
      <c r="B49" t="s">
        <v>61</v>
      </c>
      <c r="C49" t="s">
        <v>62</v>
      </c>
      <c r="D49" t="s">
        <v>63</v>
      </c>
      <c r="E49" t="s">
        <v>64</v>
      </c>
      <c r="F49" t="s">
        <v>65</v>
      </c>
      <c r="J49" t="s">
        <v>126</v>
      </c>
      <c r="K49" t="s">
        <v>113</v>
      </c>
      <c r="L49" t="b">
        <f>AND(1986&lt;A2,A2&lt;=2005)</f>
        <v>0</v>
      </c>
      <c r="M49" s="5">
        <v>5.1145E-07</v>
      </c>
      <c r="N49" s="5">
        <v>0.28306864501</v>
      </c>
      <c r="O49" s="5">
        <v>5856.4776591154</v>
      </c>
      <c r="P49">
        <f t="shared" si="0"/>
        <v>-5.105917614557827E-07</v>
      </c>
      <c r="R49" s="5">
        <v>2.97E-08</v>
      </c>
      <c r="S49" s="5">
        <v>6.07026318493</v>
      </c>
      <c r="T49" s="5">
        <v>4292.3308329504</v>
      </c>
      <c r="U49">
        <f t="shared" si="1"/>
        <v>-1.819107979073321E-08</v>
      </c>
      <c r="W49" s="5">
        <v>3.07E-09</v>
      </c>
      <c r="X49" s="5">
        <v>3.55343347416</v>
      </c>
      <c r="Y49" s="5">
        <v>8031.0922630584</v>
      </c>
      <c r="Z49">
        <f t="shared" si="2"/>
        <v>-2.173210601597836E-10</v>
      </c>
      <c r="AQ49" s="5">
        <v>1.478E-08</v>
      </c>
      <c r="AR49" s="5">
        <v>2.81808207569</v>
      </c>
      <c r="AS49" s="5">
        <v>25934.1243310894</v>
      </c>
      <c r="AT49">
        <f t="shared" si="5"/>
        <v>9.885316704044189E-09</v>
      </c>
      <c r="AV49" s="5">
        <v>7.9E-10</v>
      </c>
      <c r="AW49" s="5">
        <v>2.24085737326</v>
      </c>
      <c r="AX49" s="5">
        <v>1059.3819301892</v>
      </c>
      <c r="AY49">
        <f t="shared" si="6"/>
        <v>-7.084963540222929E-10</v>
      </c>
      <c r="BA49" s="5">
        <v>9E-11</v>
      </c>
      <c r="BB49" s="5">
        <v>5.94191743597</v>
      </c>
      <c r="BC49" s="5">
        <v>7632.9432596502</v>
      </c>
      <c r="BD49">
        <f t="shared" si="7"/>
        <v>5.878680913680627E-11</v>
      </c>
      <c r="BP49" s="5">
        <v>1.7174E-07</v>
      </c>
      <c r="BQ49" s="5">
        <v>4.43315560735</v>
      </c>
      <c r="BR49" s="5">
        <v>10213.285546211</v>
      </c>
      <c r="BS49">
        <f t="shared" si="9"/>
        <v>-8.639718622583931E-08</v>
      </c>
      <c r="BU49" s="5">
        <v>9.28E-09</v>
      </c>
      <c r="BV49" s="5">
        <v>2.32420318751</v>
      </c>
      <c r="BW49" s="5">
        <v>10213.285546211</v>
      </c>
      <c r="BX49">
        <f t="shared" si="10"/>
        <v>-4.493738564628181E-09</v>
      </c>
      <c r="BZ49" s="5">
        <v>1E-09</v>
      </c>
      <c r="CA49" s="5">
        <v>1.14568935785</v>
      </c>
      <c r="CB49" s="5">
        <v>3894.1818295422</v>
      </c>
      <c r="CC49">
        <f t="shared" si="11"/>
        <v>2.6699865535205486E-10</v>
      </c>
    </row>
    <row r="50" spans="1:81" ht="12.75">
      <c r="A50">
        <f>0.016708634-F16*(0.000042037+0.0000001267*F16)</f>
        <v>0.016703470083932765</v>
      </c>
      <c r="B50">
        <f>102.93735+F16*(1.71946+0.00046*F16)</f>
        <v>103.14850097777966</v>
      </c>
      <c r="C50">
        <f>B50-INT(B50/360)*360</f>
        <v>103.14850097777966</v>
      </c>
      <c r="D50">
        <f>RADIANS(C50)</f>
        <v>1.8002809605588455</v>
      </c>
      <c r="E50">
        <f>0.0000993650849745*(A50*COS(D50-A45)-1)</f>
        <v>-9.907751648576209E-05</v>
      </c>
      <c r="F50">
        <v>0</v>
      </c>
      <c r="J50" t="s">
        <v>104</v>
      </c>
      <c r="K50">
        <f>K3-2000</f>
        <v>12.291666666666742</v>
      </c>
      <c r="M50" s="5">
        <v>5.5577E-07</v>
      </c>
      <c r="N50" s="5">
        <v>3.47006009062</v>
      </c>
      <c r="O50" s="5">
        <v>6279.5527316424</v>
      </c>
      <c r="P50">
        <f t="shared" si="0"/>
        <v>2.5184569007347995E-07</v>
      </c>
      <c r="R50" s="5">
        <v>2.9E-08</v>
      </c>
      <c r="S50" s="5">
        <v>2.32464208411</v>
      </c>
      <c r="T50" s="5">
        <v>20.3553193988</v>
      </c>
      <c r="U50">
        <f t="shared" si="1"/>
        <v>-2.4462060847531268E-08</v>
      </c>
      <c r="W50" s="5">
        <v>3.95E-09</v>
      </c>
      <c r="X50" s="5">
        <v>4.93701776616</v>
      </c>
      <c r="Y50" s="5">
        <v>7632.9432596502</v>
      </c>
      <c r="Z50">
        <f t="shared" si="2"/>
        <v>-1.1412932139561482E-09</v>
      </c>
      <c r="AQ50" s="5">
        <v>1.481E-08</v>
      </c>
      <c r="AR50" s="5">
        <v>3.65823554806</v>
      </c>
      <c r="AS50" s="5">
        <v>11506.7697697936</v>
      </c>
      <c r="AT50">
        <f t="shared" si="5"/>
        <v>1.337194804360976E-08</v>
      </c>
      <c r="AV50" s="5">
        <v>9.7E-10</v>
      </c>
      <c r="AW50" s="5">
        <v>5.50959692365</v>
      </c>
      <c r="AX50" s="5">
        <v>29864.334027309</v>
      </c>
      <c r="AY50">
        <f t="shared" si="6"/>
        <v>4.355570468051348E-11</v>
      </c>
      <c r="BP50" s="5">
        <v>1.619E-07</v>
      </c>
      <c r="BQ50" s="5">
        <v>5.23160507859</v>
      </c>
      <c r="BR50" s="5">
        <v>17789.845619785</v>
      </c>
      <c r="BS50">
        <f t="shared" si="9"/>
        <v>-1.3062969488647242E-07</v>
      </c>
      <c r="BU50" s="5">
        <v>1.077E-08</v>
      </c>
      <c r="BV50" s="5">
        <v>5.82812169132</v>
      </c>
      <c r="BW50" s="5">
        <v>12036.4607348882</v>
      </c>
      <c r="BX50">
        <f t="shared" si="10"/>
        <v>-1.0269260161948864E-08</v>
      </c>
      <c r="BZ50" s="5">
        <v>1.29E-09</v>
      </c>
      <c r="CA50" s="5">
        <v>0.76540016965</v>
      </c>
      <c r="CB50" s="5">
        <v>553.5694028424</v>
      </c>
      <c r="CC50">
        <f t="shared" si="11"/>
        <v>3.700290336205763E-10</v>
      </c>
    </row>
    <row r="51" spans="10:81" ht="12.75">
      <c r="J51" t="s">
        <v>98</v>
      </c>
      <c r="K51">
        <f>63.86+K50*(0.3345+K50*(-0.060374+K50*(0.0017275+K50*(0.000651814+0.00002373599*K50))))</f>
        <v>83.59663284532272</v>
      </c>
      <c r="L51">
        <f>K51*L49</f>
        <v>0</v>
      </c>
      <c r="M51" s="5">
        <v>4.1036E-07</v>
      </c>
      <c r="N51" s="5">
        <v>5.36817351402</v>
      </c>
      <c r="O51" s="5">
        <v>8429.2412664666</v>
      </c>
      <c r="P51">
        <f t="shared" si="0"/>
        <v>-1.9368398998789213E-07</v>
      </c>
      <c r="R51" s="5">
        <v>3.504E-08</v>
      </c>
      <c r="S51" s="5">
        <v>4.79975694359</v>
      </c>
      <c r="T51" s="5">
        <v>6279.5527316424</v>
      </c>
      <c r="U51">
        <f t="shared" si="1"/>
        <v>3.412370326826049E-08</v>
      </c>
      <c r="W51" s="5">
        <v>3.14E-09</v>
      </c>
      <c r="X51" s="5">
        <v>3.18093696547</v>
      </c>
      <c r="Y51" s="5">
        <v>2352.8661537718</v>
      </c>
      <c r="Z51">
        <f t="shared" si="2"/>
        <v>2.485507206422465E-09</v>
      </c>
      <c r="AQ51" s="5">
        <v>1.693E-08</v>
      </c>
      <c r="AR51" s="5">
        <v>4.95689385293</v>
      </c>
      <c r="AS51" s="5">
        <v>156475.290247995</v>
      </c>
      <c r="AT51">
        <f t="shared" si="5"/>
        <v>-1.3721913135343605E-08</v>
      </c>
      <c r="AV51" s="5">
        <v>7.2E-10</v>
      </c>
      <c r="AW51" s="5">
        <v>0.21891639822</v>
      </c>
      <c r="AX51" s="5">
        <v>21228.3920235458</v>
      </c>
      <c r="AY51">
        <f t="shared" si="6"/>
        <v>-7.125056166686211E-10</v>
      </c>
      <c r="BP51" s="5">
        <v>1.7314E-07</v>
      </c>
      <c r="BQ51" s="5">
        <v>6.15200787916</v>
      </c>
      <c r="BR51" s="5">
        <v>16730.4636895958</v>
      </c>
      <c r="BS51">
        <f t="shared" si="9"/>
        <v>-7.700419655187179E-08</v>
      </c>
      <c r="BU51" s="5">
        <v>9.16E-09</v>
      </c>
      <c r="BV51" s="5">
        <v>0.76613009583</v>
      </c>
      <c r="BW51" s="5">
        <v>16730.4636895958</v>
      </c>
      <c r="BX51">
        <f t="shared" si="10"/>
        <v>3.871838475366282E-09</v>
      </c>
      <c r="BZ51" s="5">
        <v>1.09E-09</v>
      </c>
      <c r="CA51" s="5">
        <v>5.41063597567</v>
      </c>
      <c r="CB51" s="5">
        <v>6256.7775301916</v>
      </c>
      <c r="CC51">
        <f t="shared" si="11"/>
        <v>9.23276182698412E-10</v>
      </c>
    </row>
    <row r="52" spans="1:95" s="10" customFormat="1" ht="12.75">
      <c r="A52" s="9" t="s">
        <v>67</v>
      </c>
      <c r="B52" s="9" t="s">
        <v>68</v>
      </c>
      <c r="C52" s="9" t="s">
        <v>9</v>
      </c>
      <c r="D52" s="9" t="s">
        <v>9</v>
      </c>
      <c r="E52" s="9" t="s">
        <v>9</v>
      </c>
      <c r="F52" s="9" t="s">
        <v>9</v>
      </c>
      <c r="M52" s="5">
        <v>5.1605E-07</v>
      </c>
      <c r="N52" s="5">
        <v>1.33282746983</v>
      </c>
      <c r="O52" s="5">
        <v>1748.016413067</v>
      </c>
      <c r="P52">
        <f t="shared" si="0"/>
        <v>-3.570298692910444E-07</v>
      </c>
      <c r="R52" s="5">
        <v>2.95E-08</v>
      </c>
      <c r="S52" s="5">
        <v>1.43108874817</v>
      </c>
      <c r="T52" s="5">
        <v>5746.271337896</v>
      </c>
      <c r="U52">
        <f t="shared" si="1"/>
        <v>-2.8483957347359677E-08</v>
      </c>
      <c r="W52" s="5">
        <v>2.82E-09</v>
      </c>
      <c r="X52" s="5">
        <v>4.41936437052</v>
      </c>
      <c r="Y52" s="5">
        <v>9437.762934887</v>
      </c>
      <c r="Z52">
        <f t="shared" si="2"/>
        <v>1.6825599928735977E-09</v>
      </c>
      <c r="AB52" s="5"/>
      <c r="AC52" s="5"/>
      <c r="AD52" s="5"/>
      <c r="AG52" s="5"/>
      <c r="AH52" s="5"/>
      <c r="AI52" s="5"/>
      <c r="AL52" s="5"/>
      <c r="AM52" s="5"/>
      <c r="AN52" s="5"/>
      <c r="AQ52" s="5">
        <v>1.183E-08</v>
      </c>
      <c r="AR52" s="5">
        <v>1.29343061246</v>
      </c>
      <c r="AS52" s="5">
        <v>775.522611324</v>
      </c>
      <c r="AT52">
        <f t="shared" si="5"/>
        <v>-2.1060550653898613E-09</v>
      </c>
      <c r="AV52" s="5">
        <v>7.1E-10</v>
      </c>
      <c r="AW52" s="5">
        <v>2.86755026812</v>
      </c>
      <c r="AX52" s="5">
        <v>6681.2248533996</v>
      </c>
      <c r="AY52">
        <f t="shared" si="6"/>
        <v>-7.072653834927125E-10</v>
      </c>
      <c r="BA52" s="5"/>
      <c r="BB52" s="5"/>
      <c r="BC52" s="5"/>
      <c r="BF52" s="5"/>
      <c r="BG52" s="5"/>
      <c r="BH52" s="5"/>
      <c r="BK52" s="5"/>
      <c r="BL52" s="5"/>
      <c r="BM52" s="5"/>
      <c r="BP52" s="5">
        <v>1.3814E-07</v>
      </c>
      <c r="BQ52" s="5">
        <v>5.18962074032</v>
      </c>
      <c r="BR52" s="5">
        <v>8031.0922630584</v>
      </c>
      <c r="BS52">
        <f t="shared" si="9"/>
        <v>-1.3685997248077752E-07</v>
      </c>
      <c r="BU52" s="5">
        <v>8.77E-09</v>
      </c>
      <c r="BV52" s="5">
        <v>1.50137505051</v>
      </c>
      <c r="BW52" s="5">
        <v>11926.2544136688</v>
      </c>
      <c r="BX52">
        <f t="shared" si="10"/>
        <v>-8.386017795568888E-09</v>
      </c>
      <c r="BZ52" s="5">
        <v>7.5E-10</v>
      </c>
      <c r="CA52" s="5">
        <v>5.84804322893</v>
      </c>
      <c r="CB52" s="5">
        <v>242.728603974</v>
      </c>
      <c r="CC52">
        <f t="shared" si="11"/>
        <v>-6.206455532521528E-10</v>
      </c>
      <c r="CE52" s="5"/>
      <c r="CF52" s="5"/>
      <c r="CG52" s="5"/>
      <c r="CJ52" s="5"/>
      <c r="CK52" s="5"/>
      <c r="CL52" s="5"/>
      <c r="CO52" s="5"/>
      <c r="CP52" s="5"/>
      <c r="CQ52" s="5"/>
    </row>
    <row r="53" spans="10:81" ht="12.75">
      <c r="J53" t="s">
        <v>127</v>
      </c>
      <c r="K53" t="s">
        <v>114</v>
      </c>
      <c r="L53" t="b">
        <f>AND(2005&lt;A2,A2&lt;=2050)</f>
        <v>1</v>
      </c>
      <c r="M53" s="5">
        <v>5.1992E-07</v>
      </c>
      <c r="N53" s="5">
        <v>0.18914945834</v>
      </c>
      <c r="O53" s="5">
        <v>12139.5535091068</v>
      </c>
      <c r="P53">
        <f t="shared" si="0"/>
        <v>1.7273225731782555E-08</v>
      </c>
      <c r="R53" s="5">
        <v>2.697E-08</v>
      </c>
      <c r="S53" s="5">
        <v>4.80368225199</v>
      </c>
      <c r="T53" s="5">
        <v>7234.794256242</v>
      </c>
      <c r="U53">
        <f t="shared" si="1"/>
        <v>2.221046071738422E-08</v>
      </c>
      <c r="W53" s="5">
        <v>2.76E-09</v>
      </c>
      <c r="X53" s="5">
        <v>2.71314254553</v>
      </c>
      <c r="Y53" s="5">
        <v>3894.1818295422</v>
      </c>
      <c r="Z53">
        <f t="shared" si="2"/>
        <v>2.6622521935960825E-09</v>
      </c>
      <c r="AQ53" s="5">
        <v>1.114E-08</v>
      </c>
      <c r="AR53" s="5">
        <v>2.37889311846</v>
      </c>
      <c r="AS53" s="5">
        <v>3738.761430108</v>
      </c>
      <c r="AT53">
        <f t="shared" si="5"/>
        <v>-4.389680567961097E-09</v>
      </c>
      <c r="AV53" s="5">
        <v>7.4E-10</v>
      </c>
      <c r="AW53" s="5">
        <v>2.20184828895</v>
      </c>
      <c r="AX53" s="5">
        <v>37724.7534197482</v>
      </c>
      <c r="AY53">
        <f t="shared" si="6"/>
        <v>6.516266017399731E-10</v>
      </c>
      <c r="BP53" s="5">
        <v>1.8833E-07</v>
      </c>
      <c r="BQ53" s="5">
        <v>0.67306674027</v>
      </c>
      <c r="BR53" s="5">
        <v>149854.400134807</v>
      </c>
      <c r="BS53">
        <f t="shared" si="9"/>
        <v>1.8655493076564714E-07</v>
      </c>
      <c r="BU53" s="5">
        <v>1.023E-08</v>
      </c>
      <c r="BV53" s="5">
        <v>5.62076589825</v>
      </c>
      <c r="BW53" s="5">
        <v>6256.7775301916</v>
      </c>
      <c r="BX53">
        <f t="shared" si="10"/>
        <v>7.340448622927616E-09</v>
      </c>
      <c r="BZ53" s="5">
        <v>9.5E-10</v>
      </c>
      <c r="CA53" s="5">
        <v>1.94452244083</v>
      </c>
      <c r="CB53" s="5">
        <v>11856.2186514245</v>
      </c>
      <c r="CC53">
        <f t="shared" si="11"/>
        <v>-9.431840335786189E-10</v>
      </c>
    </row>
    <row r="54" spans="1:81" ht="12.75">
      <c r="A54" t="s">
        <v>71</v>
      </c>
      <c r="B54" t="s">
        <v>72</v>
      </c>
      <c r="J54" t="s">
        <v>104</v>
      </c>
      <c r="K54">
        <f>K3-2000</f>
        <v>12.291666666666742</v>
      </c>
      <c r="M54" s="5">
        <v>4.9E-07</v>
      </c>
      <c r="N54" s="5">
        <v>0.48735065033</v>
      </c>
      <c r="O54" s="5">
        <v>1194.4470102246</v>
      </c>
      <c r="P54">
        <f t="shared" si="0"/>
        <v>-4.1691644291913E-07</v>
      </c>
      <c r="R54" s="5">
        <v>2.531E-08</v>
      </c>
      <c r="S54" s="5">
        <v>6.22290682655</v>
      </c>
      <c r="T54" s="5">
        <v>6836.6452528338</v>
      </c>
      <c r="U54">
        <f t="shared" si="1"/>
        <v>-1.5100290367007527E-08</v>
      </c>
      <c r="W54" s="5">
        <v>2.98E-09</v>
      </c>
      <c r="X54" s="5">
        <v>2.5203747421</v>
      </c>
      <c r="Y54" s="5">
        <v>6127.6554505572</v>
      </c>
      <c r="Z54">
        <f t="shared" si="2"/>
        <v>-2.1313817381981947E-09</v>
      </c>
      <c r="AQ54" s="5">
        <v>9.94E-09</v>
      </c>
      <c r="AR54" s="5">
        <v>4.30088900425</v>
      </c>
      <c r="AS54" s="5">
        <v>9225.539273283</v>
      </c>
      <c r="AT54">
        <f t="shared" si="5"/>
        <v>-2.1909533380443074E-09</v>
      </c>
      <c r="AV54" s="5">
        <v>6.3E-10</v>
      </c>
      <c r="AW54" s="5">
        <v>4.45586625948</v>
      </c>
      <c r="AX54" s="5">
        <v>7079.3738568078</v>
      </c>
      <c r="AY54">
        <f t="shared" si="6"/>
        <v>-6.051040308935964E-10</v>
      </c>
      <c r="BP54" s="5">
        <v>1.8331E-07</v>
      </c>
      <c r="BQ54" s="5">
        <v>2.25348733734</v>
      </c>
      <c r="BR54" s="5">
        <v>23581.2581773176</v>
      </c>
      <c r="BS54">
        <f t="shared" si="9"/>
        <v>-1.7253809716827997E-07</v>
      </c>
      <c r="BU54" s="5">
        <v>8.51E-09</v>
      </c>
      <c r="BV54" s="5">
        <v>0.65709335533</v>
      </c>
      <c r="BW54" s="5">
        <v>155.4203994342</v>
      </c>
      <c r="BX54">
        <f t="shared" si="10"/>
        <v>-7.136951289411255E-09</v>
      </c>
      <c r="BZ54" s="5">
        <v>7.7E-10</v>
      </c>
      <c r="CA54" s="5">
        <v>0.69373708195</v>
      </c>
      <c r="CB54" s="5">
        <v>8429.2412664666</v>
      </c>
      <c r="CC54">
        <f t="shared" si="11"/>
        <v>-6.645582601735051E-10</v>
      </c>
    </row>
    <row r="55" spans="1:81" ht="12.75">
      <c r="A55">
        <f>A45+E50+A19</f>
        <v>6.686784345181161</v>
      </c>
      <c r="B55" s="12">
        <v>0</v>
      </c>
      <c r="J55" t="s">
        <v>98</v>
      </c>
      <c r="K55">
        <f>62.92+K54*(0.32217+0.005589*K54)</f>
        <v>67.72442070312503</v>
      </c>
      <c r="L55">
        <f>K55*L53</f>
        <v>67.72442070312503</v>
      </c>
      <c r="M55" s="5">
        <v>3.92E-07</v>
      </c>
      <c r="N55" s="5">
        <v>6.16832995016</v>
      </c>
      <c r="O55" s="5">
        <v>10447.3878396044</v>
      </c>
      <c r="P55">
        <f t="shared" si="0"/>
        <v>-3.168247491213961E-07</v>
      </c>
      <c r="R55" s="5">
        <v>2.745E-08</v>
      </c>
      <c r="S55" s="5">
        <v>0.93466065396</v>
      </c>
      <c r="T55" s="5">
        <v>5760.4984318976</v>
      </c>
      <c r="U55">
        <f t="shared" si="1"/>
        <v>-2.2886285898259533E-08</v>
      </c>
      <c r="W55" s="5">
        <v>2.3E-09</v>
      </c>
      <c r="X55" s="5">
        <v>1.37790215549</v>
      </c>
      <c r="Y55" s="5">
        <v>4705.7323075436</v>
      </c>
      <c r="Z55">
        <f t="shared" si="2"/>
        <v>-1.987344309432651E-09</v>
      </c>
      <c r="AQ55" s="5">
        <v>9.24E-09</v>
      </c>
      <c r="AR55" s="5">
        <v>3.06451026812</v>
      </c>
      <c r="AS55" s="5">
        <v>4164.311989613</v>
      </c>
      <c r="AT55">
        <f t="shared" si="5"/>
        <v>-6.47841763223882E-09</v>
      </c>
      <c r="AV55" s="5">
        <v>6.1E-10</v>
      </c>
      <c r="AW55" s="5">
        <v>0.63918772258</v>
      </c>
      <c r="AX55" s="5">
        <v>33794.5437235286</v>
      </c>
      <c r="AY55">
        <f t="shared" si="6"/>
        <v>3.622996655755564E-10</v>
      </c>
      <c r="BP55" s="5">
        <v>1.3641E-07</v>
      </c>
      <c r="BQ55" s="5">
        <v>3.68516118804</v>
      </c>
      <c r="BR55" s="5">
        <v>4705.7323075436</v>
      </c>
      <c r="BS55">
        <f t="shared" si="9"/>
        <v>2.8296162702512708E-08</v>
      </c>
      <c r="BU55" s="5">
        <v>8.02E-09</v>
      </c>
      <c r="BV55" s="5">
        <v>4.10519132088</v>
      </c>
      <c r="BW55" s="5">
        <v>951.7184062506</v>
      </c>
      <c r="BX55">
        <f t="shared" si="10"/>
        <v>-7.991710266501156E-09</v>
      </c>
      <c r="BZ55" s="5">
        <v>1E-09</v>
      </c>
      <c r="CA55" s="5">
        <v>5.19725292131</v>
      </c>
      <c r="CB55" s="5">
        <v>244287.600007227</v>
      </c>
      <c r="CC55">
        <f t="shared" si="11"/>
        <v>-3.537827913770372E-11</v>
      </c>
    </row>
    <row r="56" spans="13:81" ht="12.75">
      <c r="M56" s="5">
        <v>3.5566E-07</v>
      </c>
      <c r="N56" s="5">
        <v>1.77597314691</v>
      </c>
      <c r="O56" s="5">
        <v>6812.766815086</v>
      </c>
      <c r="P56">
        <f t="shared" si="0"/>
        <v>-2.912078765328155E-07</v>
      </c>
      <c r="R56" s="5">
        <v>3.25E-08</v>
      </c>
      <c r="S56" s="5">
        <v>3.39954640038</v>
      </c>
      <c r="T56" s="5">
        <v>7632.9432596502</v>
      </c>
      <c r="U56">
        <f t="shared" si="1"/>
        <v>-3.140943457609577E-08</v>
      </c>
      <c r="W56" s="5">
        <v>2.52E-09</v>
      </c>
      <c r="X56" s="5">
        <v>0.55330133471</v>
      </c>
      <c r="Y56" s="5">
        <v>6279.5527316424</v>
      </c>
      <c r="Z56">
        <f t="shared" si="2"/>
        <v>-1.6140165393754063E-09</v>
      </c>
      <c r="AQ56" s="5">
        <v>8.67E-09</v>
      </c>
      <c r="AR56" s="5">
        <v>0.55606931068</v>
      </c>
      <c r="AS56" s="5">
        <v>8429.2412664666</v>
      </c>
      <c r="AT56">
        <f t="shared" si="5"/>
        <v>-8.012927950784236E-09</v>
      </c>
      <c r="AV56" s="5">
        <v>4.7E-10</v>
      </c>
      <c r="AW56" s="5">
        <v>2.09070235724</v>
      </c>
      <c r="AX56" s="5">
        <v>3128.3887650958</v>
      </c>
      <c r="AY56">
        <f t="shared" si="6"/>
        <v>-4.439630962990399E-10</v>
      </c>
      <c r="BP56" s="5">
        <v>1.3139E-07</v>
      </c>
      <c r="BQ56" s="5">
        <v>0.65289581324</v>
      </c>
      <c r="BR56" s="5">
        <v>13367.9726311066</v>
      </c>
      <c r="BS56">
        <f t="shared" si="9"/>
        <v>1.656409843491586E-08</v>
      </c>
      <c r="BU56" s="5">
        <v>8.57E-09</v>
      </c>
      <c r="BV56" s="5">
        <v>1.41661697538</v>
      </c>
      <c r="BW56" s="5">
        <v>5753.3848848968</v>
      </c>
      <c r="BX56">
        <f t="shared" si="10"/>
        <v>-8.415230313255419E-09</v>
      </c>
      <c r="BZ56" s="5">
        <v>8E-10</v>
      </c>
      <c r="CA56" s="5">
        <v>6.18440483705</v>
      </c>
      <c r="CB56" s="5">
        <v>1059.3819301892</v>
      </c>
      <c r="CC56">
        <f t="shared" si="11"/>
        <v>7.532084511834895E-10</v>
      </c>
    </row>
    <row r="57" spans="1:95" s="10" customFormat="1" ht="12.75">
      <c r="A57" s="9" t="s">
        <v>9</v>
      </c>
      <c r="B57" s="9" t="s">
        <v>69</v>
      </c>
      <c r="C57" s="9" t="s">
        <v>70</v>
      </c>
      <c r="D57" s="9" t="s">
        <v>9</v>
      </c>
      <c r="E57" s="9" t="s">
        <v>9</v>
      </c>
      <c r="F57" s="9" t="s">
        <v>9</v>
      </c>
      <c r="J57" s="10" t="s">
        <v>128</v>
      </c>
      <c r="K57" s="10" t="s">
        <v>115</v>
      </c>
      <c r="L57" s="10" t="b">
        <f>AND(2050&lt;A2,A2&lt;=2150)</f>
        <v>0</v>
      </c>
      <c r="M57" s="5">
        <v>3.677E-07</v>
      </c>
      <c r="N57" s="5">
        <v>6.04133859347</v>
      </c>
      <c r="O57" s="5">
        <v>10213.285546211</v>
      </c>
      <c r="P57">
        <f t="shared" si="0"/>
        <v>3.244752600656383E-07</v>
      </c>
      <c r="R57" s="5">
        <v>2.277E-08</v>
      </c>
      <c r="S57" s="5">
        <v>5.00277837672</v>
      </c>
      <c r="T57" s="5">
        <v>17789.845619785</v>
      </c>
      <c r="U57">
        <f t="shared" si="1"/>
        <v>-2.0944415218324647E-08</v>
      </c>
      <c r="W57" s="5">
        <v>2.55E-09</v>
      </c>
      <c r="X57" s="5">
        <v>5.26570187369</v>
      </c>
      <c r="Y57" s="5">
        <v>6812.766815086</v>
      </c>
      <c r="Z57">
        <f t="shared" si="2"/>
        <v>1.4632136828262435E-09</v>
      </c>
      <c r="AB57" s="5"/>
      <c r="AC57" s="5"/>
      <c r="AD57" s="5"/>
      <c r="AG57" s="5"/>
      <c r="AH57" s="5"/>
      <c r="AI57" s="5"/>
      <c r="AL57" s="5"/>
      <c r="AM57" s="5"/>
      <c r="AN57" s="5"/>
      <c r="AQ57" s="5">
        <v>9.88E-09</v>
      </c>
      <c r="AR57" s="5">
        <v>5.97286104208</v>
      </c>
      <c r="AS57" s="5">
        <v>7079.3738568078</v>
      </c>
      <c r="AT57">
        <f t="shared" si="5"/>
        <v>2.235713669198906E-09</v>
      </c>
      <c r="AV57" s="5">
        <v>4.7E-10</v>
      </c>
      <c r="AW57" s="5">
        <v>3.325438433</v>
      </c>
      <c r="AX57" s="5">
        <v>26087.9031415742</v>
      </c>
      <c r="AY57">
        <f t="shared" si="6"/>
        <v>-4.680003137041381E-10</v>
      </c>
      <c r="BA57" s="5"/>
      <c r="BB57" s="5"/>
      <c r="BC57" s="5"/>
      <c r="BF57" s="5"/>
      <c r="BG57" s="5"/>
      <c r="BH57" s="5"/>
      <c r="BK57" s="5"/>
      <c r="BL57" s="5"/>
      <c r="BM57" s="5"/>
      <c r="BP57" s="5">
        <v>1.0414E-07</v>
      </c>
      <c r="BQ57" s="5">
        <v>4.33285688538</v>
      </c>
      <c r="BR57" s="5">
        <v>11769.8536931664</v>
      </c>
      <c r="BS57">
        <f t="shared" si="9"/>
        <v>-3.696404068649058E-08</v>
      </c>
      <c r="BU57" s="5">
        <v>9.94E-09</v>
      </c>
      <c r="BV57" s="5">
        <v>1.14418521187</v>
      </c>
      <c r="BW57" s="5">
        <v>1059.3819301892</v>
      </c>
      <c r="BX57">
        <f t="shared" si="10"/>
        <v>-1.5784534126734275E-10</v>
      </c>
      <c r="BZ57" s="5">
        <v>6.9E-10</v>
      </c>
      <c r="CA57" s="5">
        <v>5.25699888595</v>
      </c>
      <c r="CB57" s="5">
        <v>14143.4952424306</v>
      </c>
      <c r="CC57">
        <f t="shared" si="11"/>
        <v>-6.836001062886713E-10</v>
      </c>
      <c r="CE57" s="5"/>
      <c r="CF57" s="5"/>
      <c r="CG57" s="5"/>
      <c r="CJ57" s="5"/>
      <c r="CK57" s="5"/>
      <c r="CL57" s="5"/>
      <c r="CO57" s="5"/>
      <c r="CP57" s="5"/>
      <c r="CQ57" s="5"/>
    </row>
    <row r="58" spans="10:81" ht="12.75">
      <c r="J58" t="s">
        <v>98</v>
      </c>
      <c r="K58">
        <f>-20+32*((K3-1820)/100)*((K3-1820)/100)-0.5628*(2150-K3)</f>
        <v>20.821222222222374</v>
      </c>
      <c r="L58">
        <f>K58*L57</f>
        <v>0</v>
      </c>
      <c r="M58" s="5">
        <v>3.6596E-07</v>
      </c>
      <c r="N58" s="5">
        <v>2.56955238628</v>
      </c>
      <c r="O58" s="5">
        <v>1059.3819301892</v>
      </c>
      <c r="P58">
        <f t="shared" si="0"/>
        <v>-3.628933650810064E-07</v>
      </c>
      <c r="R58" s="5">
        <v>2.075E-08</v>
      </c>
      <c r="S58" s="5">
        <v>3.95534978634</v>
      </c>
      <c r="T58" s="5">
        <v>10213.285546211</v>
      </c>
      <c r="U58">
        <f t="shared" si="1"/>
        <v>-1.7515835693697772E-08</v>
      </c>
      <c r="W58" s="5">
        <v>2.75E-09</v>
      </c>
      <c r="X58" s="5">
        <v>0.67264264272</v>
      </c>
      <c r="Y58" s="5">
        <v>25132.3033999656</v>
      </c>
      <c r="Z58">
        <f t="shared" si="2"/>
        <v>4.321546591180027E-10</v>
      </c>
      <c r="AQ58" s="5">
        <v>8.24E-09</v>
      </c>
      <c r="AR58" s="5">
        <v>1.50984806173</v>
      </c>
      <c r="AS58" s="5">
        <v>10447.3878396044</v>
      </c>
      <c r="AT58">
        <f t="shared" si="5"/>
        <v>-4.486419801693419E-09</v>
      </c>
      <c r="AV58" s="5">
        <v>4.9E-10</v>
      </c>
      <c r="AW58" s="5">
        <v>1.60680905005</v>
      </c>
      <c r="AX58" s="5">
        <v>6702.5604938666</v>
      </c>
      <c r="AY58">
        <f t="shared" si="6"/>
        <v>-3.003674571064162E-10</v>
      </c>
      <c r="BP58" s="5">
        <v>9.978E-08</v>
      </c>
      <c r="BQ58" s="5">
        <v>4.20126336355</v>
      </c>
      <c r="BR58" s="5">
        <v>6309.3741697912</v>
      </c>
      <c r="BS58">
        <f t="shared" si="9"/>
        <v>9.977951969868401E-08</v>
      </c>
      <c r="BU58" s="5">
        <v>8.13E-09</v>
      </c>
      <c r="BV58" s="5">
        <v>1.63948433322</v>
      </c>
      <c r="BW58" s="5">
        <v>6681.2248533996</v>
      </c>
      <c r="BX58">
        <f t="shared" si="10"/>
        <v>-3.3930473418990434E-09</v>
      </c>
      <c r="BZ58" s="5">
        <v>8.5E-10</v>
      </c>
      <c r="CA58" s="5">
        <v>5.39484725499</v>
      </c>
      <c r="CB58" s="5">
        <v>25132.3033999656</v>
      </c>
      <c r="CC58">
        <f t="shared" si="11"/>
        <v>8.407095836253908E-10</v>
      </c>
    </row>
    <row r="59" spans="1:81" ht="12.75">
      <c r="A59" t="s">
        <v>73</v>
      </c>
      <c r="B59" t="s">
        <v>74</v>
      </c>
      <c r="C59" t="s">
        <v>6</v>
      </c>
      <c r="M59" s="5">
        <v>3.3291E-07</v>
      </c>
      <c r="N59" s="5">
        <v>0.59309499459</v>
      </c>
      <c r="O59" s="5">
        <v>17789.845619785</v>
      </c>
      <c r="P59">
        <f t="shared" si="0"/>
        <v>2.1595687253917606E-07</v>
      </c>
      <c r="R59" s="5">
        <v>2.061E-08</v>
      </c>
      <c r="S59" s="5">
        <v>2.22411683077</v>
      </c>
      <c r="T59" s="5">
        <v>5856.4776591154</v>
      </c>
      <c r="U59">
        <f t="shared" si="1"/>
        <v>6.332618743299548E-09</v>
      </c>
      <c r="W59" s="5">
        <v>1.78E-09</v>
      </c>
      <c r="X59" s="5">
        <v>0.92820785174</v>
      </c>
      <c r="Y59" s="5">
        <v>1990.745017041</v>
      </c>
      <c r="Z59">
        <f t="shared" si="2"/>
        <v>1.72848890662655E-09</v>
      </c>
      <c r="AQ59" s="5">
        <v>9.15E-09</v>
      </c>
      <c r="AR59" s="5">
        <v>0.12635654592</v>
      </c>
      <c r="AS59" s="5">
        <v>11015.1064773348</v>
      </c>
      <c r="AT59">
        <f t="shared" si="5"/>
        <v>-8.741970274383772E-09</v>
      </c>
      <c r="AV59" s="5">
        <v>5.7E-10</v>
      </c>
      <c r="AW59" s="5">
        <v>0.11215813438</v>
      </c>
      <c r="AX59" s="5">
        <v>29088.811415985</v>
      </c>
      <c r="AY59">
        <f t="shared" si="6"/>
        <v>3.85371536847644E-10</v>
      </c>
      <c r="BP59" s="5">
        <v>1.0169E-07</v>
      </c>
      <c r="BQ59" s="5">
        <v>1.59390681369</v>
      </c>
      <c r="BR59" s="5">
        <v>4690.4798363586</v>
      </c>
      <c r="BS59">
        <f t="shared" si="9"/>
        <v>-8.929973526994616E-08</v>
      </c>
      <c r="BU59" s="5">
        <v>6.62E-09</v>
      </c>
      <c r="BV59" s="5">
        <v>4.5520045226</v>
      </c>
      <c r="BW59" s="5">
        <v>5216.5803728014</v>
      </c>
      <c r="BX59">
        <f t="shared" si="10"/>
        <v>5.793206687625316E-09</v>
      </c>
      <c r="BZ59" s="5">
        <v>6.6E-10</v>
      </c>
      <c r="CA59" s="5">
        <v>0.51779993906</v>
      </c>
      <c r="CB59" s="5">
        <v>801.8209311238</v>
      </c>
      <c r="CC59">
        <f t="shared" si="11"/>
        <v>-3.89729134956548E-10</v>
      </c>
    </row>
    <row r="60" spans="1:81" ht="12.75">
      <c r="A60">
        <f>DEGREES(ATAN2(COS(A55),SIN(A55)*COS(D22)))</f>
        <v>21.395772468877208</v>
      </c>
      <c r="B60">
        <f>DEGREES(ASIN(SIN(D22)*SIN(A55)))</f>
        <v>8.986639821708703</v>
      </c>
      <c r="C60">
        <f>C25-A61</f>
        <v>53.58179270325117</v>
      </c>
      <c r="M60" s="5">
        <v>3.5954E-07</v>
      </c>
      <c r="N60" s="5">
        <v>1.70876111898</v>
      </c>
      <c r="O60" s="5">
        <v>2352.8661537718</v>
      </c>
      <c r="P60">
        <f t="shared" si="0"/>
        <v>2.46664694116001E-07</v>
      </c>
      <c r="R60" s="5">
        <v>2.252E-08</v>
      </c>
      <c r="S60" s="5">
        <v>5.67166499885</v>
      </c>
      <c r="T60" s="5">
        <v>11499.6562227928</v>
      </c>
      <c r="U60">
        <f t="shared" si="1"/>
        <v>-1.614871729349295E-08</v>
      </c>
      <c r="W60" s="5">
        <v>2.21E-09</v>
      </c>
      <c r="X60" s="5">
        <v>0.63897368842</v>
      </c>
      <c r="Y60" s="5">
        <v>6256.7775301916</v>
      </c>
      <c r="Z60">
        <f t="shared" si="2"/>
        <v>-1.0617156675663654E-09</v>
      </c>
      <c r="AQ60" s="5">
        <v>7.42E-09</v>
      </c>
      <c r="AR60" s="5">
        <v>1.99159139281</v>
      </c>
      <c r="AS60" s="5">
        <v>26087.9031415742</v>
      </c>
      <c r="AT60">
        <f t="shared" si="5"/>
        <v>-2.3989787624204853E-09</v>
      </c>
      <c r="AV60" s="5">
        <v>5.6E-10</v>
      </c>
      <c r="AW60" s="5">
        <v>5.47982934911</v>
      </c>
      <c r="AX60" s="5">
        <v>775.522611324</v>
      </c>
      <c r="AY60">
        <f t="shared" si="6"/>
        <v>-4.26513019185441E-10</v>
      </c>
      <c r="BP60" s="5">
        <v>7.564E-08</v>
      </c>
      <c r="BQ60" s="5">
        <v>2.6256059739</v>
      </c>
      <c r="BR60" s="5">
        <v>6256.7775301916</v>
      </c>
      <c r="BS60">
        <f t="shared" si="9"/>
        <v>-4.600678798569595E-08</v>
      </c>
      <c r="BU60" s="5">
        <v>6.44E-09</v>
      </c>
      <c r="BV60" s="5">
        <v>4.19478168733</v>
      </c>
      <c r="BW60" s="5">
        <v>6040.3472460174</v>
      </c>
      <c r="BX60">
        <f t="shared" si="10"/>
        <v>-6.345465016435358E-09</v>
      </c>
      <c r="BZ60" s="5">
        <v>5.5E-10</v>
      </c>
      <c r="CA60" s="5">
        <v>5.16878202461</v>
      </c>
      <c r="CB60" s="5">
        <v>7058.5984613154</v>
      </c>
      <c r="CC60">
        <f t="shared" si="11"/>
        <v>-4.0620732990386055E-10</v>
      </c>
    </row>
    <row r="61" spans="1:81" ht="12.75">
      <c r="A61">
        <f>A60-INT(A60/360)*360</f>
        <v>21.395772468877208</v>
      </c>
      <c r="C61">
        <f>C60-INT(C60/360)*360</f>
        <v>53.58179270325117</v>
      </c>
      <c r="M61" s="5">
        <v>4.0938E-07</v>
      </c>
      <c r="N61" s="5">
        <v>2.39850881707</v>
      </c>
      <c r="O61" s="5">
        <v>19651.048481098</v>
      </c>
      <c r="P61">
        <f t="shared" si="0"/>
        <v>9.472406488120246E-08</v>
      </c>
      <c r="R61" s="5">
        <v>2.148E-08</v>
      </c>
      <c r="S61" s="5">
        <v>5.20184578235</v>
      </c>
      <c r="T61" s="5">
        <v>11513.8833167944</v>
      </c>
      <c r="U61">
        <f t="shared" si="1"/>
        <v>-1.038265996146485E-08</v>
      </c>
      <c r="W61" s="5">
        <v>1.55E-09</v>
      </c>
      <c r="X61" s="5">
        <v>0.77319790838</v>
      </c>
      <c r="Y61" s="5">
        <v>14143.4952424306</v>
      </c>
      <c r="Z61">
        <f t="shared" si="2"/>
        <v>1.4283508825069368E-10</v>
      </c>
      <c r="AQ61" s="5">
        <v>1.039E-08</v>
      </c>
      <c r="AR61" s="5">
        <v>3.14159265359</v>
      </c>
      <c r="AS61" s="5">
        <v>0</v>
      </c>
      <c r="AT61">
        <f t="shared" si="5"/>
        <v>-1.039E-08</v>
      </c>
      <c r="AV61" s="5">
        <v>5E-10</v>
      </c>
      <c r="AW61" s="5">
        <v>1.89396788463</v>
      </c>
      <c r="AX61" s="5">
        <v>12139.5535091068</v>
      </c>
      <c r="AY61">
        <f t="shared" si="6"/>
        <v>4.930230566923298E-10</v>
      </c>
      <c r="BP61" s="5">
        <v>9.661E-08</v>
      </c>
      <c r="BQ61" s="5">
        <v>3.6758679122</v>
      </c>
      <c r="BR61" s="5">
        <v>27511.4678735372</v>
      </c>
      <c r="BS61">
        <f t="shared" si="9"/>
        <v>-5.807065804627532E-08</v>
      </c>
      <c r="BU61" s="5">
        <v>6.26E-09</v>
      </c>
      <c r="BV61" s="5">
        <v>1.50767713598</v>
      </c>
      <c r="BW61" s="5">
        <v>5643.1785636774</v>
      </c>
      <c r="BX61">
        <f t="shared" si="10"/>
        <v>-7.383470958602561E-10</v>
      </c>
      <c r="BZ61" s="5">
        <v>5.1E-10</v>
      </c>
      <c r="CA61" s="5">
        <v>3.88759155247</v>
      </c>
      <c r="CB61" s="5">
        <v>12036.4607348882</v>
      </c>
      <c r="CC61">
        <f t="shared" si="11"/>
        <v>3.1904271860249866E-10</v>
      </c>
    </row>
    <row r="62" spans="13:81" ht="12.75">
      <c r="M62" s="5">
        <v>3.0047E-07</v>
      </c>
      <c r="N62" s="5">
        <v>2.73975123935</v>
      </c>
      <c r="O62" s="5">
        <v>1349.8674096588</v>
      </c>
      <c r="P62">
        <f t="shared" si="0"/>
        <v>2.6841497514256295E-07</v>
      </c>
      <c r="R62" s="5">
        <v>1.886E-08</v>
      </c>
      <c r="S62" s="5">
        <v>0.53198320577</v>
      </c>
      <c r="T62" s="5">
        <v>3340.6124266998</v>
      </c>
      <c r="U62">
        <f t="shared" si="1"/>
        <v>-1.4266965401645724E-08</v>
      </c>
      <c r="W62" s="5">
        <v>1.5E-09</v>
      </c>
      <c r="X62" s="5">
        <v>2.40470465561</v>
      </c>
      <c r="Y62" s="5">
        <v>426.598190876</v>
      </c>
      <c r="Z62">
        <f t="shared" si="2"/>
        <v>3.138506050187076E-10</v>
      </c>
      <c r="AQ62" s="5">
        <v>8.5E-09</v>
      </c>
      <c r="AR62" s="5">
        <v>4.24120016095</v>
      </c>
      <c r="AS62" s="5">
        <v>29864.334027309</v>
      </c>
      <c r="AT62">
        <f t="shared" si="5"/>
        <v>8.219791770969815E-09</v>
      </c>
      <c r="AV62" s="5">
        <v>4.7E-10</v>
      </c>
      <c r="AW62" s="5">
        <v>2.9721490724</v>
      </c>
      <c r="AX62" s="5">
        <v>20426.571092422</v>
      </c>
      <c r="AY62">
        <f t="shared" si="6"/>
        <v>-3.6977234331157905E-10</v>
      </c>
      <c r="BP62" s="5">
        <v>6.743E-08</v>
      </c>
      <c r="BQ62" s="5">
        <v>0.56270332741</v>
      </c>
      <c r="BR62" s="5">
        <v>3340.6124266998</v>
      </c>
      <c r="BS62">
        <f t="shared" si="9"/>
        <v>-4.962990811750349E-08</v>
      </c>
      <c r="BU62" s="5">
        <v>5.9E-09</v>
      </c>
      <c r="BV62" s="5">
        <v>6.18277145205</v>
      </c>
      <c r="BW62" s="5">
        <v>4164.311989613</v>
      </c>
      <c r="BX62">
        <f t="shared" si="10"/>
        <v>4.233670634231146E-09</v>
      </c>
      <c r="BZ62" s="5">
        <v>5E-10</v>
      </c>
      <c r="CA62" s="5">
        <v>5.57636570536</v>
      </c>
      <c r="CB62" s="5">
        <v>6290.1893969922</v>
      </c>
      <c r="CC62">
        <f t="shared" si="11"/>
        <v>2.1042379010817766E-10</v>
      </c>
    </row>
    <row r="63" spans="1:95" s="10" customFormat="1" ht="12.75">
      <c r="A63" s="9" t="s">
        <v>9</v>
      </c>
      <c r="B63" s="9" t="s">
        <v>76</v>
      </c>
      <c r="C63" s="9" t="s">
        <v>9</v>
      </c>
      <c r="D63" s="9" t="s">
        <v>9</v>
      </c>
      <c r="E63" s="9" t="s">
        <v>9</v>
      </c>
      <c r="F63" s="9" t="s">
        <v>9</v>
      </c>
      <c r="M63" s="5">
        <v>3.0412E-07</v>
      </c>
      <c r="N63" s="5">
        <v>0.44294464135</v>
      </c>
      <c r="O63" s="5">
        <v>83996.8473181118</v>
      </c>
      <c r="P63">
        <f t="shared" si="0"/>
        <v>3.536225098989058E-08</v>
      </c>
      <c r="R63" s="5">
        <v>1.875E-08</v>
      </c>
      <c r="S63" s="5">
        <v>4.73511970207</v>
      </c>
      <c r="T63" s="5">
        <v>83996.8473181118</v>
      </c>
      <c r="U63">
        <f t="shared" si="1"/>
        <v>1.6113236531562497E-08</v>
      </c>
      <c r="W63" s="5">
        <v>1.96E-09</v>
      </c>
      <c r="X63" s="5">
        <v>6.06877865012</v>
      </c>
      <c r="Y63" s="5">
        <v>640.8776073822</v>
      </c>
      <c r="Z63">
        <f t="shared" si="2"/>
        <v>3.8674396175841146E-10</v>
      </c>
      <c r="AB63" s="5"/>
      <c r="AC63" s="5"/>
      <c r="AD63" s="5"/>
      <c r="AG63" s="5"/>
      <c r="AH63" s="5"/>
      <c r="AI63" s="5"/>
      <c r="AL63" s="5"/>
      <c r="AM63" s="5"/>
      <c r="AN63" s="5"/>
      <c r="AQ63" s="5">
        <v>7.55E-09</v>
      </c>
      <c r="AR63" s="5">
        <v>2.8963187332</v>
      </c>
      <c r="AS63" s="5">
        <v>4732.0306273434</v>
      </c>
      <c r="AT63">
        <f t="shared" si="5"/>
        <v>-1.918738497922234E-09</v>
      </c>
      <c r="AV63" s="5">
        <v>4.1E-10</v>
      </c>
      <c r="AW63" s="5">
        <v>5.5532939489</v>
      </c>
      <c r="AX63" s="5">
        <v>11015.1064773348</v>
      </c>
      <c r="AY63">
        <f t="shared" si="6"/>
        <v>-3.481379240881747E-10</v>
      </c>
      <c r="BA63" s="5"/>
      <c r="BB63" s="5"/>
      <c r="BC63" s="5"/>
      <c r="BF63" s="5"/>
      <c r="BG63" s="5"/>
      <c r="BH63" s="5"/>
      <c r="BK63" s="5"/>
      <c r="BL63" s="5"/>
      <c r="BM63" s="5"/>
      <c r="BP63" s="5">
        <v>8.743E-08</v>
      </c>
      <c r="BQ63" s="5">
        <v>6.06359123461</v>
      </c>
      <c r="BR63" s="5">
        <v>1748.016413067</v>
      </c>
      <c r="BS63">
        <f t="shared" si="9"/>
        <v>-6.422870224901923E-08</v>
      </c>
      <c r="BU63" s="5">
        <v>6.35E-09</v>
      </c>
      <c r="BV63" s="5">
        <v>0.52413263542</v>
      </c>
      <c r="BW63" s="5">
        <v>6290.1893969922</v>
      </c>
      <c r="BX63">
        <f t="shared" si="10"/>
        <v>-4.540022076293976E-09</v>
      </c>
      <c r="BZ63" s="5">
        <v>6.1E-10</v>
      </c>
      <c r="CA63" s="5">
        <v>2.24359003264</v>
      </c>
      <c r="CB63" s="5">
        <v>8635.9420037632</v>
      </c>
      <c r="CC63">
        <f t="shared" si="11"/>
        <v>5.775641362354525E-11</v>
      </c>
      <c r="CE63" s="5"/>
      <c r="CF63" s="5"/>
      <c r="CG63" s="5"/>
      <c r="CJ63" s="5"/>
      <c r="CK63" s="5"/>
      <c r="CL63" s="5"/>
      <c r="CO63" s="5"/>
      <c r="CP63" s="5"/>
      <c r="CQ63" s="5"/>
    </row>
    <row r="64" spans="13:81" ht="12.75">
      <c r="M64" s="5">
        <v>2.3663E-07</v>
      </c>
      <c r="N64" s="5">
        <v>0.48473567763</v>
      </c>
      <c r="O64" s="5">
        <v>8031.0922630584</v>
      </c>
      <c r="P64">
        <f t="shared" si="0"/>
        <v>3.3896831053208073E-08</v>
      </c>
      <c r="R64" s="5">
        <v>2.06E-08</v>
      </c>
      <c r="S64" s="5">
        <v>2.54987293999</v>
      </c>
      <c r="T64" s="5">
        <v>25132.3033999656</v>
      </c>
      <c r="U64">
        <f t="shared" si="1"/>
        <v>-2.0372874206985818E-08</v>
      </c>
      <c r="W64" s="5">
        <v>1.37E-09</v>
      </c>
      <c r="X64" s="5">
        <v>2.21679460145</v>
      </c>
      <c r="Y64" s="5">
        <v>8429.2412664666</v>
      </c>
      <c r="Z64">
        <f t="shared" si="2"/>
        <v>6.347695781221971E-10</v>
      </c>
      <c r="AQ64" s="5">
        <v>7.14E-09</v>
      </c>
      <c r="AR64" s="5">
        <v>1.37548118603</v>
      </c>
      <c r="AS64" s="5">
        <v>2146.1654164752</v>
      </c>
      <c r="AT64">
        <f t="shared" si="5"/>
        <v>-6.106918191035574E-09</v>
      </c>
      <c r="AV64" s="5">
        <v>4.1E-10</v>
      </c>
      <c r="AW64" s="5">
        <v>5.91861144924</v>
      </c>
      <c r="AX64" s="5">
        <v>23581.2581773176</v>
      </c>
      <c r="AY64">
        <f t="shared" si="6"/>
        <v>4.0344849224169987E-10</v>
      </c>
      <c r="BP64" s="5">
        <v>7.786E-08</v>
      </c>
      <c r="BQ64" s="5">
        <v>3.67371235637</v>
      </c>
      <c r="BR64" s="5">
        <v>12168.0026965746</v>
      </c>
      <c r="BS64">
        <f t="shared" si="9"/>
        <v>-5.1663531440628734E-08</v>
      </c>
      <c r="BU64" s="5">
        <v>6.5E-09</v>
      </c>
      <c r="BV64" s="5">
        <v>0.9793569035</v>
      </c>
      <c r="BW64" s="5">
        <v>25132.3033999656</v>
      </c>
      <c r="BX64">
        <f t="shared" si="10"/>
        <v>-9.643612511131495E-10</v>
      </c>
      <c r="BZ64" s="5">
        <v>5E-10</v>
      </c>
      <c r="CA64" s="5">
        <v>5.54441900966</v>
      </c>
      <c r="CB64" s="5">
        <v>1990.745017041</v>
      </c>
      <c r="CC64">
        <f t="shared" si="11"/>
        <v>7.22382316667681E-11</v>
      </c>
    </row>
    <row r="65" spans="1:81" ht="12.75">
      <c r="A65" t="s">
        <v>19</v>
      </c>
      <c r="B65" t="s">
        <v>78</v>
      </c>
      <c r="C65" t="s">
        <v>77</v>
      </c>
      <c r="D65" t="s">
        <v>130</v>
      </c>
      <c r="E65" t="s">
        <v>129</v>
      </c>
      <c r="M65" s="5">
        <v>2.3574E-07</v>
      </c>
      <c r="N65" s="5">
        <v>2.06527720049</v>
      </c>
      <c r="O65" s="5">
        <v>3340.6124266998</v>
      </c>
      <c r="P65">
        <f t="shared" si="0"/>
        <v>1.473868891209518E-07</v>
      </c>
      <c r="R65" s="5">
        <v>1.794E-08</v>
      </c>
      <c r="S65" s="5">
        <v>1.47435409831</v>
      </c>
      <c r="T65" s="5">
        <v>4164.311989613</v>
      </c>
      <c r="U65">
        <f t="shared" si="1"/>
        <v>-1.2545970946158223E-08</v>
      </c>
      <c r="W65" s="5">
        <v>1.27E-09</v>
      </c>
      <c r="X65" s="5">
        <v>3.26094223174</v>
      </c>
      <c r="Y65" s="5">
        <v>17789.845619785</v>
      </c>
      <c r="Z65">
        <f t="shared" si="2"/>
        <v>-2.921551625862039E-10</v>
      </c>
      <c r="AQ65" s="5">
        <v>7.08E-09</v>
      </c>
      <c r="AR65" s="5">
        <v>1.91406542362</v>
      </c>
      <c r="AS65" s="5">
        <v>8031.0922630584</v>
      </c>
      <c r="AT65">
        <f t="shared" si="5"/>
        <v>7.0799816597750145E-09</v>
      </c>
      <c r="AV65" s="5">
        <v>4.5E-10</v>
      </c>
      <c r="AW65" s="5">
        <v>4.95273290181</v>
      </c>
      <c r="AX65" s="5">
        <v>5863.5912061162</v>
      </c>
      <c r="AY65">
        <f t="shared" si="6"/>
        <v>5.990519484992401E-12</v>
      </c>
      <c r="BP65" s="5">
        <v>6.633E-08</v>
      </c>
      <c r="BQ65" s="5">
        <v>5.66149277792</v>
      </c>
      <c r="BR65" s="5">
        <v>11371.7046897582</v>
      </c>
      <c r="BS65">
        <f t="shared" si="9"/>
        <v>4.6731745699512583E-08</v>
      </c>
      <c r="BU65" s="5">
        <v>5.68E-09</v>
      </c>
      <c r="BV65" s="5">
        <v>2.30125315873</v>
      </c>
      <c r="BW65" s="5">
        <v>10973.55568635</v>
      </c>
      <c r="BX65">
        <f t="shared" si="10"/>
        <v>2.178541410570832E-09</v>
      </c>
      <c r="BZ65" s="5">
        <v>5.6E-10</v>
      </c>
      <c r="CA65" s="5">
        <v>4.0030107804</v>
      </c>
      <c r="CB65" s="5">
        <v>13367.9726311066</v>
      </c>
      <c r="CC65">
        <f t="shared" si="11"/>
        <v>4.5934292759135184E-11</v>
      </c>
    </row>
    <row r="66" spans="1:81" ht="12.75">
      <c r="A66">
        <f>280.4664567+E16*(360007.6982779+E16*(0.03032028+E16*(1/49931-E16*(1/15300-E16/2000000))))</f>
        <v>4701.2427723372775</v>
      </c>
      <c r="B66">
        <f>A66-INT(A66/360)*360</f>
        <v>21.24277233727753</v>
      </c>
      <c r="C66">
        <f>B66-0.0057183-A61+F19*COS(D22)</f>
        <v>-0.15484374265212153</v>
      </c>
      <c r="D66">
        <f>4*C66</f>
        <v>-0.6193749706084861</v>
      </c>
      <c r="E66">
        <f>IF(ABS(D66)&lt;ABS(D67),D66,D67)</f>
        <v>-0.6193749706084861</v>
      </c>
      <c r="M66" s="5">
        <v>2.1089E-07</v>
      </c>
      <c r="N66" s="5">
        <v>4.14825464101</v>
      </c>
      <c r="O66" s="5">
        <v>951.7184062506</v>
      </c>
      <c r="P66">
        <f aca="true" t="shared" si="14" ref="P66:P129">M66*COS(N66+O66*$E$16)</f>
        <v>-2.091894016096585E-07</v>
      </c>
      <c r="R66" s="5">
        <v>1.778E-08</v>
      </c>
      <c r="S66" s="5">
        <v>3.02473091781</v>
      </c>
      <c r="T66" s="5">
        <v>5.5229243074</v>
      </c>
      <c r="U66">
        <f aca="true" t="shared" si="15" ref="U66:U129">R66*COS(S66+T66*$E$16)</f>
        <v>-1.7758622754184662E-08</v>
      </c>
      <c r="W66" s="5">
        <v>1.28E-09</v>
      </c>
      <c r="X66" s="5">
        <v>5.47237279946</v>
      </c>
      <c r="Y66" s="5">
        <v>12036.4607348882</v>
      </c>
      <c r="Z66">
        <f aca="true" t="shared" si="16" ref="Z66:Z129">W66*COS(X66+Y66*$E$16)</f>
        <v>-1.0097112262896075E-09</v>
      </c>
      <c r="AQ66" s="5">
        <v>7.46E-09</v>
      </c>
      <c r="AR66" s="5">
        <v>0.57893808616</v>
      </c>
      <c r="AS66" s="5">
        <v>796.2980068164</v>
      </c>
      <c r="AT66">
        <f aca="true" t="shared" si="17" ref="AT66:AT129">AQ66*COS(AR66+AS66*$E$16)</f>
        <v>-4.4452479173795526E-09</v>
      </c>
      <c r="AV66" s="5">
        <v>5E-10</v>
      </c>
      <c r="AW66" s="5">
        <v>3.62740835096</v>
      </c>
      <c r="AX66" s="5">
        <v>41654.9631159678</v>
      </c>
      <c r="AY66">
        <f aca="true" t="shared" si="18" ref="AY66:AY99">AV66*COS(AW66+AX66*$E$16)</f>
        <v>4.982151997719698E-10</v>
      </c>
      <c r="BP66" s="5">
        <v>7.712E-08</v>
      </c>
      <c r="BQ66" s="5">
        <v>0.31242577789</v>
      </c>
      <c r="BR66" s="5">
        <v>7632.9432596502</v>
      </c>
      <c r="BS66">
        <f aca="true" t="shared" si="19" ref="BS66:BS129">BP66*COS(BQ66+BR66*$E$16)</f>
        <v>7.550019954578551E-08</v>
      </c>
      <c r="BU66" s="5">
        <v>5.47E-09</v>
      </c>
      <c r="BV66" s="5">
        <v>5.27256412213</v>
      </c>
      <c r="BW66" s="5">
        <v>3340.6124266998</v>
      </c>
      <c r="BX66">
        <f aca="true" t="shared" si="20" ref="BX66:BX129">BU66*COS(BV66+BW66*$E$16)</f>
        <v>-3.692772657923663E-09</v>
      </c>
      <c r="BZ66" s="5">
        <v>5.2E-10</v>
      </c>
      <c r="CA66" s="5">
        <v>4.13138898038</v>
      </c>
      <c r="CB66" s="5">
        <v>7860.4193924392</v>
      </c>
      <c r="CC66">
        <f aca="true" t="shared" si="21" ref="CC66:CC129">BZ66*COS(CA66+CB66*$E$16)</f>
        <v>5.160206682073541E-10</v>
      </c>
    </row>
    <row r="67" spans="2:81" ht="12.75">
      <c r="B67">
        <f>B66-360</f>
        <v>-338.75722766272247</v>
      </c>
      <c r="C67">
        <f>B67-0.0057183-A61+F19*COS(D22)</f>
        <v>-360.15484374265213</v>
      </c>
      <c r="D67" s="14">
        <f>4*C67</f>
        <v>-1440.6193749706085</v>
      </c>
      <c r="E67">
        <f>TRUNC(E66)</f>
        <v>0</v>
      </c>
      <c r="F67" s="15">
        <f>ROUND(60*ABS(E66-E67),0)</f>
        <v>37</v>
      </c>
      <c r="M67" s="5">
        <v>2.4738E-07</v>
      </c>
      <c r="N67" s="5">
        <v>0.21484762138</v>
      </c>
      <c r="O67" s="5">
        <v>3.5904286518</v>
      </c>
      <c r="P67">
        <f t="shared" si="14"/>
        <v>2.391330268261584E-07</v>
      </c>
      <c r="R67" s="5">
        <v>2.029E-08</v>
      </c>
      <c r="S67" s="5">
        <v>0.90960209983</v>
      </c>
      <c r="T67" s="5">
        <v>6256.7775301916</v>
      </c>
      <c r="U67">
        <f t="shared" si="15"/>
        <v>-1.4150133244789796E-08</v>
      </c>
      <c r="W67" s="5">
        <v>1.22E-09</v>
      </c>
      <c r="X67" s="5">
        <v>2.16291082757</v>
      </c>
      <c r="Y67" s="5">
        <v>10213.285546211</v>
      </c>
      <c r="Z67">
        <f t="shared" si="16"/>
        <v>-4.116823576149289E-10</v>
      </c>
      <c r="AQ67" s="5">
        <v>8.02E-09</v>
      </c>
      <c r="AR67" s="5">
        <v>5.1233913723</v>
      </c>
      <c r="AS67" s="5">
        <v>2942.4634232916</v>
      </c>
      <c r="AT67">
        <f t="shared" si="17"/>
        <v>-7.338678445901617E-09</v>
      </c>
      <c r="AV67" s="5">
        <v>3.7E-10</v>
      </c>
      <c r="AW67" s="5">
        <v>6.09033460601</v>
      </c>
      <c r="AX67" s="5">
        <v>64809.8055049412</v>
      </c>
      <c r="AY67">
        <f t="shared" si="18"/>
        <v>-2.5043037379611353E-10</v>
      </c>
      <c r="BP67" s="5">
        <v>6.592E-08</v>
      </c>
      <c r="BQ67" s="5">
        <v>3.13576266188</v>
      </c>
      <c r="BR67" s="5">
        <v>801.8209311238</v>
      </c>
      <c r="BS67">
        <f t="shared" si="19"/>
        <v>6.031144337255377E-08</v>
      </c>
      <c r="BU67" s="5">
        <v>5.47E-09</v>
      </c>
      <c r="BV67" s="5">
        <v>2.20144422886</v>
      </c>
      <c r="BW67" s="5">
        <v>1592.5960136328</v>
      </c>
      <c r="BX67">
        <f t="shared" si="20"/>
        <v>-5.322002751533347E-09</v>
      </c>
      <c r="BZ67" s="5">
        <v>5.2E-10</v>
      </c>
      <c r="CA67" s="5">
        <v>3.90943054011</v>
      </c>
      <c r="CB67" s="5">
        <v>26.2983197998</v>
      </c>
      <c r="CC67">
        <f t="shared" si="21"/>
        <v>-2.4013610682954973E-10</v>
      </c>
    </row>
    <row r="68" spans="13:81" ht="12.75">
      <c r="M68" s="5">
        <v>2.5352E-07</v>
      </c>
      <c r="N68" s="5">
        <v>3.16470953405</v>
      </c>
      <c r="O68" s="5">
        <v>4690.4798363586</v>
      </c>
      <c r="P68">
        <f t="shared" si="14"/>
        <v>-1.2127581106653379E-07</v>
      </c>
      <c r="R68" s="5">
        <v>2.075E-08</v>
      </c>
      <c r="S68" s="5">
        <v>2.26767270157</v>
      </c>
      <c r="T68" s="5">
        <v>522.5774180938</v>
      </c>
      <c r="U68">
        <f t="shared" si="15"/>
        <v>-1.532285635521188E-08</v>
      </c>
      <c r="W68" s="5">
        <v>1.18E-09</v>
      </c>
      <c r="X68" s="5">
        <v>0.45789822268</v>
      </c>
      <c r="Y68" s="5">
        <v>7058.5984613154</v>
      </c>
      <c r="Z68">
        <f t="shared" si="16"/>
        <v>7.96853983951357E-10</v>
      </c>
      <c r="AQ68" s="5">
        <v>7.51E-09</v>
      </c>
      <c r="AR68" s="5">
        <v>1.67479850166</v>
      </c>
      <c r="AS68" s="5">
        <v>21228.3920235458</v>
      </c>
      <c r="AT68">
        <f t="shared" si="17"/>
        <v>2.2147333562865298E-10</v>
      </c>
      <c r="AV68" s="5">
        <v>3.7E-10</v>
      </c>
      <c r="AW68" s="5">
        <v>5.86153655431</v>
      </c>
      <c r="AX68" s="5">
        <v>12566.1516999828</v>
      </c>
      <c r="AY68">
        <f t="shared" si="18"/>
        <v>-3.6950996522877903E-10</v>
      </c>
      <c r="BP68" s="5">
        <v>7.46E-08</v>
      </c>
      <c r="BQ68" s="5">
        <v>5.64757188143</v>
      </c>
      <c r="BR68" s="5">
        <v>11926.2544136688</v>
      </c>
      <c r="BS68">
        <f t="shared" si="19"/>
        <v>1.983949819172214E-08</v>
      </c>
      <c r="BU68" s="5">
        <v>5.26E-09</v>
      </c>
      <c r="BV68" s="5">
        <v>0.92464258226</v>
      </c>
      <c r="BW68" s="5">
        <v>11371.7046897582</v>
      </c>
      <c r="BX68">
        <f t="shared" si="20"/>
        <v>-3.641107742919629E-09</v>
      </c>
      <c r="BZ68" s="5">
        <v>4.1E-10</v>
      </c>
      <c r="CA68" s="5">
        <v>3.5712848278</v>
      </c>
      <c r="CB68" s="5">
        <v>7079.3738568078</v>
      </c>
      <c r="CC68">
        <f t="shared" si="21"/>
        <v>-3.37804074399629E-10</v>
      </c>
    </row>
    <row r="69" spans="13:81" ht="12.75">
      <c r="M69" s="5">
        <v>2.282E-07</v>
      </c>
      <c r="N69" s="5">
        <v>5.22197888032</v>
      </c>
      <c r="O69" s="5">
        <v>4705.7323075436</v>
      </c>
      <c r="P69">
        <f t="shared" si="14"/>
        <v>2.2471566016628736E-07</v>
      </c>
      <c r="R69" s="5">
        <v>1.772E-08</v>
      </c>
      <c r="S69" s="5">
        <v>3.02622802353</v>
      </c>
      <c r="T69" s="5">
        <v>5753.3848848968</v>
      </c>
      <c r="U69">
        <f t="shared" si="15"/>
        <v>-2.6747131823415294E-09</v>
      </c>
      <c r="W69" s="5">
        <v>1.41E-09</v>
      </c>
      <c r="X69" s="5">
        <v>2.34932647403</v>
      </c>
      <c r="Y69" s="5">
        <v>11506.7697697936</v>
      </c>
      <c r="Z69">
        <f t="shared" si="16"/>
        <v>9.15031536384227E-10</v>
      </c>
      <c r="AQ69" s="5">
        <v>6.02E-09</v>
      </c>
      <c r="AR69" s="5">
        <v>4.09976538826</v>
      </c>
      <c r="AS69" s="5">
        <v>64809.8055049412</v>
      </c>
      <c r="AT69">
        <f t="shared" si="17"/>
        <v>-2.3861695370520063E-09</v>
      </c>
      <c r="AV69" s="5">
        <v>4.6E-10</v>
      </c>
      <c r="AW69" s="5">
        <v>1.65798680284</v>
      </c>
      <c r="AX69" s="5">
        <v>25158.6017197654</v>
      </c>
      <c r="AY69">
        <f t="shared" si="18"/>
        <v>-4.199611170139523E-10</v>
      </c>
      <c r="BP69" s="5">
        <v>6.933E-08</v>
      </c>
      <c r="BQ69" s="5">
        <v>2.923845864</v>
      </c>
      <c r="BR69" s="5">
        <v>6681.2248533996</v>
      </c>
      <c r="BS69">
        <f t="shared" si="19"/>
        <v>-6.861151864485685E-08</v>
      </c>
      <c r="BU69" s="5">
        <v>4.9E-09</v>
      </c>
      <c r="BV69" s="5">
        <v>5.90951388655</v>
      </c>
      <c r="BW69" s="5">
        <v>3894.1818295422</v>
      </c>
      <c r="BX69">
        <f t="shared" si="20"/>
        <v>-4.6486066231083495E-09</v>
      </c>
      <c r="BZ69" s="5">
        <v>5.6E-10</v>
      </c>
      <c r="CA69" s="5">
        <v>2.76959005761</v>
      </c>
      <c r="CB69" s="5">
        <v>90955.5516944961</v>
      </c>
      <c r="CC69">
        <f t="shared" si="21"/>
        <v>1.6756862497306937E-10</v>
      </c>
    </row>
    <row r="70" spans="13:81" ht="12.75">
      <c r="M70" s="5">
        <v>2.1419E-07</v>
      </c>
      <c r="N70" s="5">
        <v>1.42563735525</v>
      </c>
      <c r="O70" s="5">
        <v>16730.4636895958</v>
      </c>
      <c r="P70">
        <f t="shared" si="14"/>
        <v>1.9048957403503945E-07</v>
      </c>
      <c r="R70" s="5">
        <v>1.569E-08</v>
      </c>
      <c r="S70" s="5">
        <v>6.12410242782</v>
      </c>
      <c r="T70" s="5">
        <v>5216.5803728014</v>
      </c>
      <c r="U70">
        <f t="shared" si="15"/>
        <v>7.574982922156406E-09</v>
      </c>
      <c r="W70" s="5">
        <v>1E-09</v>
      </c>
      <c r="X70" s="5">
        <v>0.85621569847</v>
      </c>
      <c r="Y70" s="5">
        <v>6290.1893969922</v>
      </c>
      <c r="Z70">
        <f t="shared" si="16"/>
        <v>-9.038378693118617E-10</v>
      </c>
      <c r="AQ70" s="5">
        <v>5.94E-09</v>
      </c>
      <c r="AR70" s="5">
        <v>3.49580704962</v>
      </c>
      <c r="AS70" s="5">
        <v>16496.3613962024</v>
      </c>
      <c r="AT70">
        <f t="shared" si="17"/>
        <v>1.7064601819910056E-09</v>
      </c>
      <c r="AV70" s="5">
        <v>3.8E-10</v>
      </c>
      <c r="AW70" s="5">
        <v>2.00673650251</v>
      </c>
      <c r="AX70" s="5">
        <v>426.598190876</v>
      </c>
      <c r="AY70">
        <f t="shared" si="18"/>
        <v>2.1730307458033637E-10</v>
      </c>
      <c r="BP70" s="5">
        <v>6.802E-08</v>
      </c>
      <c r="BQ70" s="5">
        <v>1.4232980642</v>
      </c>
      <c r="BR70" s="5">
        <v>23013.5395395872</v>
      </c>
      <c r="BS70">
        <f t="shared" si="19"/>
        <v>1.9589194548997033E-08</v>
      </c>
      <c r="BU70" s="5">
        <v>4.78E-09</v>
      </c>
      <c r="BV70" s="5">
        <v>1.66857963179</v>
      </c>
      <c r="BW70" s="5">
        <v>12168.0026965746</v>
      </c>
      <c r="BX70">
        <f t="shared" si="20"/>
        <v>4.5787491762666806E-09</v>
      </c>
      <c r="BZ70" s="5">
        <v>4.2E-10</v>
      </c>
      <c r="CA70" s="5">
        <v>1.91461189199</v>
      </c>
      <c r="CB70" s="5">
        <v>7477.522860216</v>
      </c>
      <c r="CC70">
        <f t="shared" si="21"/>
        <v>3.6621541877506005E-10</v>
      </c>
    </row>
    <row r="71" spans="13:81" ht="12.75">
      <c r="M71" s="5">
        <v>2.1891E-07</v>
      </c>
      <c r="N71" s="5">
        <v>5.55594302562</v>
      </c>
      <c r="O71" s="5">
        <v>553.5694028424</v>
      </c>
      <c r="P71">
        <f t="shared" si="14"/>
        <v>2.1397319158808257E-07</v>
      </c>
      <c r="R71" s="5">
        <v>1.59E-08</v>
      </c>
      <c r="S71" s="5">
        <v>4.63713748247</v>
      </c>
      <c r="T71" s="5">
        <v>3.2863574178</v>
      </c>
      <c r="U71">
        <f t="shared" si="15"/>
        <v>-5.547355147017057E-10</v>
      </c>
      <c r="W71" s="5">
        <v>9.2E-10</v>
      </c>
      <c r="X71" s="5">
        <v>5.10587476002</v>
      </c>
      <c r="Y71" s="5">
        <v>7079.3738568078</v>
      </c>
      <c r="Z71">
        <f t="shared" si="16"/>
        <v>-5.484765601143476E-10</v>
      </c>
      <c r="AQ71" s="5">
        <v>5.92E-09</v>
      </c>
      <c r="AR71" s="5">
        <v>4.59481504319</v>
      </c>
      <c r="AS71" s="5">
        <v>4690.4798363586</v>
      </c>
      <c r="AT71">
        <f t="shared" si="17"/>
        <v>4.7502236088832775E-09</v>
      </c>
      <c r="AV71" s="5">
        <v>3.6E-10</v>
      </c>
      <c r="AW71" s="5">
        <v>6.24373396652</v>
      </c>
      <c r="AX71" s="5">
        <v>6283.14316029419</v>
      </c>
      <c r="AY71">
        <f t="shared" si="18"/>
        <v>-5.2538485217229686E-11</v>
      </c>
      <c r="BP71" s="5">
        <v>6.115E-08</v>
      </c>
      <c r="BQ71" s="5">
        <v>5.13393615454</v>
      </c>
      <c r="BR71" s="5">
        <v>1194.4470102246</v>
      </c>
      <c r="BS71">
        <f t="shared" si="19"/>
        <v>3.548046660433227E-08</v>
      </c>
      <c r="BU71" s="5">
        <v>5.16E-09</v>
      </c>
      <c r="BV71" s="5">
        <v>3.59803483887</v>
      </c>
      <c r="BW71" s="5">
        <v>10969.9652576982</v>
      </c>
      <c r="BX71">
        <f t="shared" si="20"/>
        <v>5.1452890533504324E-09</v>
      </c>
      <c r="BZ71" s="5">
        <v>4.2E-10</v>
      </c>
      <c r="CA71" s="5">
        <v>0.42728171713</v>
      </c>
      <c r="CB71" s="5">
        <v>10213.285546211</v>
      </c>
      <c r="CC71">
        <f t="shared" si="21"/>
        <v>4.1326178137768285E-10</v>
      </c>
    </row>
    <row r="72" spans="13:81" ht="12.75">
      <c r="M72" s="5">
        <v>1.7481E-07</v>
      </c>
      <c r="N72" s="5">
        <v>4.56052900359</v>
      </c>
      <c r="O72" s="5">
        <v>135.0650800354</v>
      </c>
      <c r="P72">
        <f t="shared" si="14"/>
        <v>1.7445097589387537E-07</v>
      </c>
      <c r="R72" s="5">
        <v>1.542E-08</v>
      </c>
      <c r="S72" s="5">
        <v>4.20004448567</v>
      </c>
      <c r="T72" s="5">
        <v>13367.9726311066</v>
      </c>
      <c r="U72">
        <f t="shared" si="15"/>
        <v>4.248828068492262E-09</v>
      </c>
      <c r="W72" s="5">
        <v>1.26E-09</v>
      </c>
      <c r="X72" s="5">
        <v>2.65428307012</v>
      </c>
      <c r="Y72" s="5">
        <v>88860.0570709866</v>
      </c>
      <c r="Z72">
        <f t="shared" si="16"/>
        <v>1.0726239847083926E-09</v>
      </c>
      <c r="AQ72" s="5">
        <v>5.3E-09</v>
      </c>
      <c r="AR72" s="5">
        <v>5.739792952</v>
      </c>
      <c r="AS72" s="5">
        <v>8827.3902698748</v>
      </c>
      <c r="AT72">
        <f t="shared" si="17"/>
        <v>2.6833737416942567E-09</v>
      </c>
      <c r="AV72" s="5">
        <v>3.6E-10</v>
      </c>
      <c r="AW72" s="5">
        <v>0.40465162918</v>
      </c>
      <c r="AX72" s="5">
        <v>6283.0085396886</v>
      </c>
      <c r="AY72">
        <f t="shared" si="18"/>
        <v>-1.9996474358489918E-10</v>
      </c>
      <c r="BP72" s="5">
        <v>6.477E-08</v>
      </c>
      <c r="BQ72" s="5">
        <v>2.64986648492</v>
      </c>
      <c r="BR72" s="5">
        <v>19804.8272915828</v>
      </c>
      <c r="BS72">
        <f t="shared" si="19"/>
        <v>4.501335863929682E-08</v>
      </c>
      <c r="BU72" s="5">
        <v>5.18E-09</v>
      </c>
      <c r="BV72" s="5">
        <v>3.97914412373</v>
      </c>
      <c r="BW72" s="5">
        <v>17298.1823273262</v>
      </c>
      <c r="BX72">
        <f t="shared" si="20"/>
        <v>-4.820502543099835E-09</v>
      </c>
      <c r="BZ72" s="5">
        <v>4.2E-10</v>
      </c>
      <c r="CA72" s="5">
        <v>1.09413724455</v>
      </c>
      <c r="CB72" s="5">
        <v>709.9330485583</v>
      </c>
      <c r="CC72">
        <f t="shared" si="21"/>
        <v>-3.8892260891025177E-10</v>
      </c>
    </row>
    <row r="73" spans="13:81" ht="12.75">
      <c r="M73" s="5">
        <v>1.9925E-07</v>
      </c>
      <c r="N73" s="5">
        <v>5.22208471269</v>
      </c>
      <c r="O73" s="5">
        <v>12168.0026965746</v>
      </c>
      <c r="P73">
        <f t="shared" si="14"/>
        <v>-1.5199333283507654E-07</v>
      </c>
      <c r="R73" s="5">
        <v>1.427E-08</v>
      </c>
      <c r="S73" s="5">
        <v>1.19088061711</v>
      </c>
      <c r="T73" s="5">
        <v>3894.1818295422</v>
      </c>
      <c r="U73">
        <f t="shared" si="15"/>
        <v>4.427437558965556E-09</v>
      </c>
      <c r="W73" s="5">
        <v>1.06E-09</v>
      </c>
      <c r="X73" s="5">
        <v>5.85646710022</v>
      </c>
      <c r="Y73" s="5">
        <v>7860.4193924392</v>
      </c>
      <c r="Z73">
        <f t="shared" si="16"/>
        <v>-2.909751022632166E-10</v>
      </c>
      <c r="AQ73" s="5">
        <v>5.03E-09</v>
      </c>
      <c r="AR73" s="5">
        <v>5.66433137112</v>
      </c>
      <c r="AS73" s="5">
        <v>33794.5437235286</v>
      </c>
      <c r="AT73">
        <f t="shared" si="17"/>
        <v>4.769590165615076E-09</v>
      </c>
      <c r="AV73" s="5">
        <v>3.2E-10</v>
      </c>
      <c r="AW73" s="5">
        <v>6.03707103538</v>
      </c>
      <c r="AX73" s="5">
        <v>2942.4634232916</v>
      </c>
      <c r="AY73">
        <f t="shared" si="18"/>
        <v>-7.666932923267351E-11</v>
      </c>
      <c r="BP73" s="5">
        <v>5.233E-08</v>
      </c>
      <c r="BQ73" s="5">
        <v>4.62434053374</v>
      </c>
      <c r="BR73" s="5">
        <v>6438.4962494256</v>
      </c>
      <c r="BS73">
        <f t="shared" si="19"/>
        <v>-2.2040769466219717E-08</v>
      </c>
      <c r="BU73" s="5">
        <v>5.34E-09</v>
      </c>
      <c r="BV73" s="5">
        <v>5.03740926442</v>
      </c>
      <c r="BW73" s="5">
        <v>9917.6968745098</v>
      </c>
      <c r="BX73">
        <f t="shared" si="20"/>
        <v>2.1336291849104004E-09</v>
      </c>
      <c r="BZ73" s="5">
        <v>3.9E-10</v>
      </c>
      <c r="CA73" s="5">
        <v>3.93298068961</v>
      </c>
      <c r="CB73" s="5">
        <v>10973.55568635</v>
      </c>
      <c r="CC73">
        <f t="shared" si="21"/>
        <v>3.503964719619131E-10</v>
      </c>
    </row>
    <row r="74" spans="13:81" ht="12.75">
      <c r="M74" s="5">
        <v>1.986E-07</v>
      </c>
      <c r="N74" s="5">
        <v>5.77470167653</v>
      </c>
      <c r="O74" s="5">
        <v>6309.3741697912</v>
      </c>
      <c r="P74">
        <f t="shared" si="14"/>
        <v>9.151269368340418E-11</v>
      </c>
      <c r="R74" s="5">
        <v>1.375E-08</v>
      </c>
      <c r="S74" s="5">
        <v>3.09301252193</v>
      </c>
      <c r="T74" s="5">
        <v>135.0650800354</v>
      </c>
      <c r="U74">
        <f t="shared" si="15"/>
        <v>5.385647854594312E-10</v>
      </c>
      <c r="W74" s="5">
        <v>8.4E-10</v>
      </c>
      <c r="X74" s="5">
        <v>3.57457554262</v>
      </c>
      <c r="Y74" s="5">
        <v>16730.4636895958</v>
      </c>
      <c r="Z74">
        <f t="shared" si="16"/>
        <v>-8.658770630683448E-11</v>
      </c>
      <c r="AQ74" s="5">
        <v>4.83E-09</v>
      </c>
      <c r="AR74" s="5">
        <v>1.57106522411</v>
      </c>
      <c r="AS74" s="5">
        <v>801.8209311238</v>
      </c>
      <c r="AT74">
        <f t="shared" si="17"/>
        <v>1.9764868344015958E-09</v>
      </c>
      <c r="AV74" s="5">
        <v>4.1E-10</v>
      </c>
      <c r="AW74" s="5">
        <v>4.86809570283</v>
      </c>
      <c r="AX74" s="5">
        <v>1592.5960136328</v>
      </c>
      <c r="AY74">
        <f t="shared" si="18"/>
        <v>3.1143839274918194E-10</v>
      </c>
      <c r="BP74" s="5">
        <v>6.147E-08</v>
      </c>
      <c r="BQ74" s="5">
        <v>3.02863936662</v>
      </c>
      <c r="BR74" s="5">
        <v>233141.314404361</v>
      </c>
      <c r="BS74">
        <f t="shared" si="19"/>
        <v>4.305008752052002E-08</v>
      </c>
      <c r="BU74" s="5">
        <v>4.87E-09</v>
      </c>
      <c r="BV74" s="5">
        <v>2.50545369269</v>
      </c>
      <c r="BW74" s="5">
        <v>6127.6554505572</v>
      </c>
      <c r="BX74">
        <f t="shared" si="20"/>
        <v>-3.431993037057133E-09</v>
      </c>
      <c r="BZ74" s="5">
        <v>3.8E-10</v>
      </c>
      <c r="CA74" s="5">
        <v>6.17935925345</v>
      </c>
      <c r="CB74" s="5">
        <v>9917.6968745098</v>
      </c>
      <c r="CC74">
        <f t="shared" si="21"/>
        <v>-2.536701613265752E-10</v>
      </c>
    </row>
    <row r="75" spans="13:81" ht="12.75">
      <c r="M75" s="5">
        <v>2.03E-07</v>
      </c>
      <c r="N75" s="5">
        <v>0.37133792946</v>
      </c>
      <c r="O75" s="5">
        <v>283.8593188652</v>
      </c>
      <c r="P75">
        <f t="shared" si="14"/>
        <v>-1.532247549303788E-07</v>
      </c>
      <c r="R75" s="5">
        <v>1.359E-08</v>
      </c>
      <c r="S75" s="5">
        <v>4.24532506641</v>
      </c>
      <c r="T75" s="5">
        <v>426.598190876</v>
      </c>
      <c r="U75">
        <f t="shared" si="15"/>
        <v>-1.3566327175853124E-08</v>
      </c>
      <c r="W75" s="5">
        <v>8.9E-10</v>
      </c>
      <c r="X75" s="5">
        <v>4.21433259618</v>
      </c>
      <c r="Y75" s="5">
        <v>83996.8473181118</v>
      </c>
      <c r="Z75">
        <f t="shared" si="16"/>
        <v>4.370032597749619E-10</v>
      </c>
      <c r="AQ75" s="5">
        <v>4.38E-09</v>
      </c>
      <c r="AR75" s="5">
        <v>0.06707733767</v>
      </c>
      <c r="AS75" s="5">
        <v>3128.3887650958</v>
      </c>
      <c r="AT75">
        <f t="shared" si="17"/>
        <v>3.1028396339552264E-09</v>
      </c>
      <c r="AV75" s="5">
        <v>2.8E-10</v>
      </c>
      <c r="AW75" s="5">
        <v>4.38359423735</v>
      </c>
      <c r="AX75" s="5">
        <v>7632.9432596502</v>
      </c>
      <c r="AY75">
        <f t="shared" si="18"/>
        <v>-2.0971744138720042E-10</v>
      </c>
      <c r="BP75" s="5">
        <v>4.608E-08</v>
      </c>
      <c r="BQ75" s="5">
        <v>1.72194702724</v>
      </c>
      <c r="BR75" s="5">
        <v>7234.794256242</v>
      </c>
      <c r="BS75">
        <f t="shared" si="19"/>
        <v>-3.944381143190085E-08</v>
      </c>
      <c r="BU75" s="5">
        <v>4.16E-09</v>
      </c>
      <c r="BV75" s="5">
        <v>4.04828175503</v>
      </c>
      <c r="BW75" s="5">
        <v>10984.1923516998</v>
      </c>
      <c r="BX75">
        <f t="shared" si="20"/>
        <v>3.1804568906478144E-09</v>
      </c>
      <c r="BZ75" s="5">
        <v>4.9E-10</v>
      </c>
      <c r="CA75" s="5">
        <v>0.83021145241</v>
      </c>
      <c r="CB75" s="5">
        <v>11506.7697697936</v>
      </c>
      <c r="CC75">
        <f t="shared" si="21"/>
        <v>-3.5587908266913575E-10</v>
      </c>
    </row>
    <row r="76" spans="13:81" ht="12.75">
      <c r="M76" s="5">
        <v>1.4421E-07</v>
      </c>
      <c r="N76" s="5">
        <v>4.19315332546</v>
      </c>
      <c r="O76" s="5">
        <v>242.728603974</v>
      </c>
      <c r="P76">
        <f t="shared" si="14"/>
        <v>9.070075235762966E-08</v>
      </c>
      <c r="R76" s="5">
        <v>1.34E-08</v>
      </c>
      <c r="S76" s="5">
        <v>5.76511818622</v>
      </c>
      <c r="T76" s="5">
        <v>6040.3472460174</v>
      </c>
      <c r="U76">
        <f t="shared" si="15"/>
        <v>-2.2936361522195112E-09</v>
      </c>
      <c r="W76" s="5">
        <v>9.7E-10</v>
      </c>
      <c r="X76" s="5">
        <v>5.57938280855</v>
      </c>
      <c r="Y76" s="5">
        <v>13367.9726311066</v>
      </c>
      <c r="Z76">
        <f t="shared" si="16"/>
        <v>9.662726681807874E-10</v>
      </c>
      <c r="AQ76" s="5">
        <v>4.23E-09</v>
      </c>
      <c r="AR76" s="5">
        <v>2.86944595927</v>
      </c>
      <c r="AS76" s="5">
        <v>12566.1516999828</v>
      </c>
      <c r="AT76">
        <f t="shared" si="17"/>
        <v>4.209691569153624E-09</v>
      </c>
      <c r="AV76" s="5">
        <v>2.8E-10</v>
      </c>
      <c r="AW76" s="5">
        <v>6.03334294232</v>
      </c>
      <c r="AX76" s="5">
        <v>17789.845619785</v>
      </c>
      <c r="AY76">
        <f t="shared" si="18"/>
        <v>-3.825942923313025E-11</v>
      </c>
      <c r="BP76" s="5">
        <v>4.221E-08</v>
      </c>
      <c r="BQ76" s="5">
        <v>1.55697533729</v>
      </c>
      <c r="BR76" s="5">
        <v>7238.6755916</v>
      </c>
      <c r="BS76">
        <f t="shared" si="19"/>
        <v>-3.3328679086339994E-08</v>
      </c>
      <c r="BU76" s="5">
        <v>5.38E-09</v>
      </c>
      <c r="BV76" s="5">
        <v>5.54081539805</v>
      </c>
      <c r="BW76" s="5">
        <v>553.5694028424</v>
      </c>
      <c r="BX76">
        <f t="shared" si="20"/>
        <v>5.240883584371826E-09</v>
      </c>
      <c r="BZ76" s="5">
        <v>5.3E-10</v>
      </c>
      <c r="CA76" s="5">
        <v>1.45828359397</v>
      </c>
      <c r="CB76" s="5">
        <v>233141.314404361</v>
      </c>
      <c r="CC76">
        <f t="shared" si="21"/>
        <v>3.7848089219457386E-10</v>
      </c>
    </row>
    <row r="77" spans="13:81" ht="12.75">
      <c r="M77" s="5">
        <v>1.6225E-07</v>
      </c>
      <c r="N77" s="5">
        <v>5.98837722564</v>
      </c>
      <c r="O77" s="5">
        <v>11769.8536931664</v>
      </c>
      <c r="P77">
        <f t="shared" si="14"/>
        <v>1.5601473480512917E-07</v>
      </c>
      <c r="R77" s="5">
        <v>1.284E-08</v>
      </c>
      <c r="S77" s="5">
        <v>3.08524663344</v>
      </c>
      <c r="T77" s="5">
        <v>5643.1785636774</v>
      </c>
      <c r="U77">
        <f t="shared" si="15"/>
        <v>-1.2739825753514593E-08</v>
      </c>
      <c r="W77" s="5">
        <v>1.02E-09</v>
      </c>
      <c r="X77" s="5">
        <v>2.05853060226</v>
      </c>
      <c r="Y77" s="5">
        <v>87.30820453981</v>
      </c>
      <c r="Z77">
        <f t="shared" si="16"/>
        <v>-1.0199388953275015E-09</v>
      </c>
      <c r="AQ77" s="5">
        <v>5.04E-09</v>
      </c>
      <c r="AR77" s="5">
        <v>3.2620766916</v>
      </c>
      <c r="AS77" s="5">
        <v>7632.9432596502</v>
      </c>
      <c r="AT77">
        <f t="shared" si="17"/>
        <v>-4.6475097526489125E-09</v>
      </c>
      <c r="AV77" s="5">
        <v>2.6E-10</v>
      </c>
      <c r="AW77" s="5">
        <v>3.88971333608</v>
      </c>
      <c r="AX77" s="5">
        <v>5331.3574437408</v>
      </c>
      <c r="AY77">
        <f t="shared" si="18"/>
        <v>2.524241625290139E-10</v>
      </c>
      <c r="BP77" s="5">
        <v>5.314E-08</v>
      </c>
      <c r="BQ77" s="5">
        <v>2.40716580847</v>
      </c>
      <c r="BR77" s="5">
        <v>11499.6562227928</v>
      </c>
      <c r="BS77">
        <f t="shared" si="19"/>
        <v>3.3277609340376484E-08</v>
      </c>
      <c r="BU77" s="5">
        <v>4.02E-09</v>
      </c>
      <c r="BV77" s="5">
        <v>2.16544019233</v>
      </c>
      <c r="BW77" s="5">
        <v>7860.4193924392</v>
      </c>
      <c r="BX77">
        <f t="shared" si="20"/>
        <v>-1.077526800530047E-09</v>
      </c>
      <c r="BZ77" s="5">
        <v>4.7E-10</v>
      </c>
      <c r="CA77" s="5">
        <v>6.21568666789</v>
      </c>
      <c r="CB77" s="5">
        <v>6681.2248533996</v>
      </c>
      <c r="CC77">
        <f t="shared" si="21"/>
        <v>4.497871641065655E-10</v>
      </c>
    </row>
    <row r="78" spans="13:81" ht="12.75">
      <c r="M78" s="5">
        <v>1.5077E-07</v>
      </c>
      <c r="N78" s="5">
        <v>4.19567181073</v>
      </c>
      <c r="O78" s="5">
        <v>6256.7775301916</v>
      </c>
      <c r="P78">
        <f t="shared" si="14"/>
        <v>1.1960788755514323E-07</v>
      </c>
      <c r="R78" s="5">
        <v>1.25E-08</v>
      </c>
      <c r="S78" s="5">
        <v>3.07748157144</v>
      </c>
      <c r="T78" s="5">
        <v>11926.2544136688</v>
      </c>
      <c r="U78">
        <f t="shared" si="15"/>
        <v>3.721676308867934E-09</v>
      </c>
      <c r="W78" s="5">
        <v>8E-10</v>
      </c>
      <c r="X78" s="5">
        <v>4.73792651816</v>
      </c>
      <c r="Y78" s="5">
        <v>11926.2544136688</v>
      </c>
      <c r="Z78">
        <f t="shared" si="16"/>
        <v>7.393275968108295E-10</v>
      </c>
      <c r="AQ78" s="5">
        <v>5.52E-09</v>
      </c>
      <c r="AR78" s="5">
        <v>1.02926440457</v>
      </c>
      <c r="AS78" s="5">
        <v>239762.204517549</v>
      </c>
      <c r="AT78">
        <f t="shared" si="17"/>
        <v>-7.017355516709924E-11</v>
      </c>
      <c r="AV78" s="5">
        <v>2.6E-10</v>
      </c>
      <c r="AW78" s="5">
        <v>5.94932724051</v>
      </c>
      <c r="AX78" s="5">
        <v>16496.3613962024</v>
      </c>
      <c r="AY78">
        <f t="shared" si="18"/>
        <v>1.0045400569695116E-10</v>
      </c>
      <c r="BP78" s="5">
        <v>5.128E-08</v>
      </c>
      <c r="BQ78" s="5">
        <v>5.3239896569</v>
      </c>
      <c r="BR78" s="5">
        <v>11513.8833167944</v>
      </c>
      <c r="BS78">
        <f t="shared" si="19"/>
        <v>-3.007183795609936E-08</v>
      </c>
      <c r="BU78" s="5">
        <v>5.53E-09</v>
      </c>
      <c r="BV78" s="5">
        <v>2.32177369366</v>
      </c>
      <c r="BW78" s="5">
        <v>11506.7697697936</v>
      </c>
      <c r="BX78">
        <f t="shared" si="20"/>
        <v>3.471468911592183E-09</v>
      </c>
      <c r="BZ78" s="5">
        <v>3.7E-10</v>
      </c>
      <c r="CA78" s="5">
        <v>0.3635930998</v>
      </c>
      <c r="CB78" s="5">
        <v>10177.2576795336</v>
      </c>
      <c r="CC78">
        <f t="shared" si="21"/>
        <v>3.5042575094354754E-10</v>
      </c>
    </row>
    <row r="79" spans="13:81" ht="12.75">
      <c r="M79" s="5">
        <v>1.9124E-07</v>
      </c>
      <c r="N79" s="5">
        <v>3.82219996949</v>
      </c>
      <c r="O79" s="5">
        <v>23581.2581773176</v>
      </c>
      <c r="P79">
        <f t="shared" si="14"/>
        <v>-6.496579608387823E-08</v>
      </c>
      <c r="R79" s="5">
        <v>1.551E-08</v>
      </c>
      <c r="S79" s="5">
        <v>3.07665451458</v>
      </c>
      <c r="T79" s="5">
        <v>6681.2248533996</v>
      </c>
      <c r="U79">
        <f t="shared" si="15"/>
        <v>-1.4831406615452759E-08</v>
      </c>
      <c r="W79" s="5">
        <v>8E-10</v>
      </c>
      <c r="X79" s="5">
        <v>5.41418965044</v>
      </c>
      <c r="Y79" s="5">
        <v>10973.55568635</v>
      </c>
      <c r="Z79">
        <f t="shared" si="16"/>
        <v>-2.8554206971513445E-10</v>
      </c>
      <c r="AQ79" s="5">
        <v>4.27E-09</v>
      </c>
      <c r="AR79" s="5">
        <v>3.6743437821</v>
      </c>
      <c r="AS79" s="5">
        <v>213.299095438</v>
      </c>
      <c r="AT79">
        <f t="shared" si="17"/>
        <v>4.269769021811291E-09</v>
      </c>
      <c r="AV79" s="5">
        <v>3.1E-10</v>
      </c>
      <c r="AW79" s="5">
        <v>1.44666331503</v>
      </c>
      <c r="AX79" s="5">
        <v>16730.4636895958</v>
      </c>
      <c r="AY79">
        <f t="shared" si="18"/>
        <v>2.786171486486409E-10</v>
      </c>
      <c r="BP79" s="5">
        <v>4.77E-08</v>
      </c>
      <c r="BQ79" s="5">
        <v>0.25554312006</v>
      </c>
      <c r="BR79" s="5">
        <v>11856.2186514245</v>
      </c>
      <c r="BS79">
        <f t="shared" si="19"/>
        <v>1.1247753870388314E-08</v>
      </c>
      <c r="BU79" s="5">
        <v>3.67E-09</v>
      </c>
      <c r="BV79" s="5">
        <v>3.3915253225</v>
      </c>
      <c r="BW79" s="5">
        <v>6496.3749454294</v>
      </c>
      <c r="BX79">
        <f t="shared" si="20"/>
        <v>3.2009031590677936E-10</v>
      </c>
      <c r="BZ79" s="5">
        <v>3.5E-10</v>
      </c>
      <c r="CA79" s="5">
        <v>3.33024911524</v>
      </c>
      <c r="CB79" s="5">
        <v>5643.1785636774</v>
      </c>
      <c r="CC79">
        <f t="shared" si="21"/>
        <v>-3.2631486614281944E-10</v>
      </c>
    </row>
    <row r="80" spans="13:81" ht="12.75">
      <c r="M80" s="5">
        <v>1.8888E-07</v>
      </c>
      <c r="N80" s="5">
        <v>5.38626880969</v>
      </c>
      <c r="O80" s="5">
        <v>149854.400134807</v>
      </c>
      <c r="P80">
        <f t="shared" si="14"/>
        <v>-2.5719451977925893E-08</v>
      </c>
      <c r="R80" s="5">
        <v>1.268E-08</v>
      </c>
      <c r="S80" s="5">
        <v>2.09196018331</v>
      </c>
      <c r="T80" s="5">
        <v>6290.1893969922</v>
      </c>
      <c r="U80">
        <f t="shared" si="15"/>
        <v>-8.892238582078761E-09</v>
      </c>
      <c r="W80" s="5">
        <v>1.06E-09</v>
      </c>
      <c r="X80" s="5">
        <v>4.10978997399</v>
      </c>
      <c r="Y80" s="5">
        <v>3496.032826134</v>
      </c>
      <c r="Z80">
        <f t="shared" si="16"/>
        <v>-1.056265648684193E-09</v>
      </c>
      <c r="AQ80" s="5">
        <v>4.04E-09</v>
      </c>
      <c r="AR80" s="5">
        <v>1.46193297142</v>
      </c>
      <c r="AS80" s="5">
        <v>15720.8387848784</v>
      </c>
      <c r="AT80">
        <f t="shared" si="17"/>
        <v>3.893554801622194E-09</v>
      </c>
      <c r="AV80" s="5">
        <v>2.6E-10</v>
      </c>
      <c r="AW80" s="5">
        <v>6.26376705837</v>
      </c>
      <c r="AX80" s="5">
        <v>23543.2305046817</v>
      </c>
      <c r="AY80">
        <f t="shared" si="18"/>
        <v>2.5957482430936706E-10</v>
      </c>
      <c r="BP80" s="5">
        <v>5.519E-08</v>
      </c>
      <c r="BQ80" s="5">
        <v>2.09089154502</v>
      </c>
      <c r="BR80" s="5">
        <v>17298.1823273262</v>
      </c>
      <c r="BS80">
        <f t="shared" si="19"/>
        <v>3.5224335661376834E-08</v>
      </c>
      <c r="BU80" s="5">
        <v>3.6E-09</v>
      </c>
      <c r="BV80" s="5">
        <v>5.34379853282</v>
      </c>
      <c r="BW80" s="5">
        <v>7079.3738568078</v>
      </c>
      <c r="BX80">
        <f t="shared" si="20"/>
        <v>-1.4045535950512844E-09</v>
      </c>
      <c r="BZ80" s="5">
        <v>3.4E-10</v>
      </c>
      <c r="CA80" s="5">
        <v>5.63446915337</v>
      </c>
      <c r="CB80" s="5">
        <v>6525.8044539654</v>
      </c>
      <c r="CC80">
        <f t="shared" si="21"/>
        <v>-1.9882087666410713E-10</v>
      </c>
    </row>
    <row r="81" spans="13:81" ht="12.75">
      <c r="M81" s="5">
        <v>1.4346E-07</v>
      </c>
      <c r="N81" s="5">
        <v>3.72355084422</v>
      </c>
      <c r="O81" s="5">
        <v>38.0276726358</v>
      </c>
      <c r="P81">
        <f t="shared" si="14"/>
        <v>-7.151520984332774E-08</v>
      </c>
      <c r="R81" s="5">
        <v>1.144E-08</v>
      </c>
      <c r="S81" s="5">
        <v>3.24444699514</v>
      </c>
      <c r="T81" s="5">
        <v>12168.0026965746</v>
      </c>
      <c r="U81">
        <f t="shared" si="15"/>
        <v>-3.3400776067252856E-09</v>
      </c>
      <c r="W81" s="5">
        <v>1.02E-09</v>
      </c>
      <c r="X81" s="5">
        <v>3.62650006043</v>
      </c>
      <c r="Y81" s="5">
        <v>244287.600007227</v>
      </c>
      <c r="Z81">
        <f t="shared" si="16"/>
        <v>1.0193599031276973E-09</v>
      </c>
      <c r="AQ81" s="5">
        <v>5.03E-09</v>
      </c>
      <c r="AR81" s="5">
        <v>4.85802444134</v>
      </c>
      <c r="AS81" s="5">
        <v>6290.1893969922</v>
      </c>
      <c r="AT81">
        <f t="shared" si="17"/>
        <v>4.5967758896684E-09</v>
      </c>
      <c r="AV81" s="5">
        <v>3.3E-10</v>
      </c>
      <c r="AW81" s="5">
        <v>0.93797239147</v>
      </c>
      <c r="AX81" s="5">
        <v>213.299095438</v>
      </c>
      <c r="AY81">
        <f t="shared" si="18"/>
        <v>-3.019054907657606E-10</v>
      </c>
      <c r="BP81" s="5">
        <v>5.625E-08</v>
      </c>
      <c r="BQ81" s="5">
        <v>4.34052903053</v>
      </c>
      <c r="BR81" s="5">
        <v>90955.5516944961</v>
      </c>
      <c r="BS81">
        <f t="shared" si="19"/>
        <v>-5.367508796610064E-08</v>
      </c>
      <c r="BU81" s="5">
        <v>3.37E-09</v>
      </c>
      <c r="BV81" s="5">
        <v>3.61563704045</v>
      </c>
      <c r="BW81" s="5">
        <v>11790.6290886588</v>
      </c>
      <c r="BX81">
        <f t="shared" si="20"/>
        <v>-2.4753362679301703E-09</v>
      </c>
      <c r="BZ81" s="5">
        <v>3.5E-10</v>
      </c>
      <c r="CA81" s="5">
        <v>5.36033855038</v>
      </c>
      <c r="CB81" s="5">
        <v>25158.6017197654</v>
      </c>
      <c r="CC81">
        <f t="shared" si="21"/>
        <v>3.465540550644784E-10</v>
      </c>
    </row>
    <row r="82" spans="13:81" ht="12.75">
      <c r="M82" s="5">
        <v>1.7898E-07</v>
      </c>
      <c r="N82" s="5">
        <v>2.21490735647</v>
      </c>
      <c r="O82" s="5">
        <v>13367.9726311066</v>
      </c>
      <c r="P82">
        <f t="shared" si="14"/>
        <v>-1.7734695669507005E-07</v>
      </c>
      <c r="R82" s="5">
        <v>1.248E-08</v>
      </c>
      <c r="S82" s="5">
        <v>3.44504937285</v>
      </c>
      <c r="T82" s="5">
        <v>536.8045120954</v>
      </c>
      <c r="U82">
        <f t="shared" si="15"/>
        <v>-1.021449699795624E-08</v>
      </c>
      <c r="W82" s="5">
        <v>7.5E-10</v>
      </c>
      <c r="X82" s="5">
        <v>4.89483161769</v>
      </c>
      <c r="Y82" s="5">
        <v>5643.1785636774</v>
      </c>
      <c r="Z82">
        <f t="shared" si="16"/>
        <v>2.668597425134777E-10</v>
      </c>
      <c r="AQ82" s="5">
        <v>4.17E-09</v>
      </c>
      <c r="AR82" s="5">
        <v>0.81920713533</v>
      </c>
      <c r="AS82" s="5">
        <v>5216.5803728014</v>
      </c>
      <c r="AT82">
        <f t="shared" si="17"/>
        <v>-1.9050674878471323E-09</v>
      </c>
      <c r="AV82" s="5">
        <v>2.6E-10</v>
      </c>
      <c r="AW82" s="5">
        <v>3.71858432944</v>
      </c>
      <c r="AX82" s="5">
        <v>13095.8426650774</v>
      </c>
      <c r="AY82">
        <f t="shared" si="18"/>
        <v>1.0181906389027805E-10</v>
      </c>
      <c r="BP82" s="5">
        <v>4.578E-08</v>
      </c>
      <c r="BQ82" s="5">
        <v>4.4656964157</v>
      </c>
      <c r="BR82" s="5">
        <v>5746.271337896</v>
      </c>
      <c r="BS82">
        <f t="shared" si="19"/>
        <v>4.267859643129501E-08</v>
      </c>
      <c r="BU82" s="5">
        <v>4.56E-09</v>
      </c>
      <c r="BV82" s="5">
        <v>0.30754294809</v>
      </c>
      <c r="BW82" s="5">
        <v>801.8209311238</v>
      </c>
      <c r="BX82">
        <f t="shared" si="20"/>
        <v>-3.4014514917372293E-09</v>
      </c>
      <c r="BZ82" s="5">
        <v>3.4E-10</v>
      </c>
      <c r="CA82" s="5">
        <v>5.36319798321</v>
      </c>
      <c r="CB82" s="5">
        <v>4933.2084403326</v>
      </c>
      <c r="CC82">
        <f t="shared" si="21"/>
        <v>-3.398251930141918E-10</v>
      </c>
    </row>
    <row r="83" spans="13:81" ht="12.75">
      <c r="M83" s="5">
        <v>1.2054E-07</v>
      </c>
      <c r="N83" s="5">
        <v>2.62229588349</v>
      </c>
      <c r="O83" s="5">
        <v>955.5997416086</v>
      </c>
      <c r="P83">
        <f t="shared" si="14"/>
        <v>-2.6255984895421447E-08</v>
      </c>
      <c r="R83" s="5">
        <v>1.118E-08</v>
      </c>
      <c r="S83" s="5">
        <v>2.31829670425</v>
      </c>
      <c r="T83" s="5">
        <v>16730.4636895958</v>
      </c>
      <c r="U83">
        <f t="shared" si="15"/>
        <v>1.0218422751594461E-08</v>
      </c>
      <c r="W83" s="5">
        <v>8.7E-10</v>
      </c>
      <c r="X83" s="5">
        <v>0.42863750683</v>
      </c>
      <c r="Y83" s="5">
        <v>11015.1064773348</v>
      </c>
      <c r="Z83">
        <f t="shared" si="16"/>
        <v>-7.170365573423908E-10</v>
      </c>
      <c r="AQ83" s="5">
        <v>3.65E-09</v>
      </c>
      <c r="AR83" s="5">
        <v>0.01002966162</v>
      </c>
      <c r="AS83" s="5">
        <v>12168.0026965746</v>
      </c>
      <c r="AT83">
        <f t="shared" si="17"/>
        <v>7.375011200074241E-10</v>
      </c>
      <c r="AV83" s="5">
        <v>2.7E-10</v>
      </c>
      <c r="AW83" s="5">
        <v>0.60565274405</v>
      </c>
      <c r="AX83" s="5">
        <v>10988.808157535</v>
      </c>
      <c r="AY83">
        <f t="shared" si="18"/>
        <v>-2.42396935802278E-10</v>
      </c>
      <c r="BP83" s="5">
        <v>3.788E-08</v>
      </c>
      <c r="BQ83" s="5">
        <v>4.9072938351</v>
      </c>
      <c r="BR83" s="5">
        <v>4164.311989613</v>
      </c>
      <c r="BS83">
        <f t="shared" si="19"/>
        <v>3.3151788224694226E-08</v>
      </c>
      <c r="BU83" s="5">
        <v>4.17E-09</v>
      </c>
      <c r="BV83" s="5">
        <v>3.70009308674</v>
      </c>
      <c r="BW83" s="5">
        <v>10575.4066829418</v>
      </c>
      <c r="BX83">
        <f t="shared" si="20"/>
        <v>-1.8728045870672387E-10</v>
      </c>
      <c r="BZ83" s="5">
        <v>3.3E-10</v>
      </c>
      <c r="CA83" s="5">
        <v>4.24722336872</v>
      </c>
      <c r="CB83" s="5">
        <v>12569.6748183318</v>
      </c>
      <c r="CC83">
        <f t="shared" si="21"/>
        <v>1.7062184703661555E-11</v>
      </c>
    </row>
    <row r="84" spans="13:81" ht="12.75">
      <c r="M84" s="5">
        <v>1.1287E-07</v>
      </c>
      <c r="N84" s="5">
        <v>0.17739328092</v>
      </c>
      <c r="O84" s="5">
        <v>4164.311989613</v>
      </c>
      <c r="P84">
        <f t="shared" si="14"/>
        <v>5.6327738503408246E-08</v>
      </c>
      <c r="R84" s="5">
        <v>1.105E-08</v>
      </c>
      <c r="S84" s="5">
        <v>5.31966001019</v>
      </c>
      <c r="T84" s="5">
        <v>23.8784377478</v>
      </c>
      <c r="U84">
        <f t="shared" si="15"/>
        <v>8.659129791552681E-09</v>
      </c>
      <c r="W84" s="5">
        <v>6.9E-10</v>
      </c>
      <c r="X84" s="5">
        <v>1.8890876072</v>
      </c>
      <c r="Y84" s="5">
        <v>10177.2576795336</v>
      </c>
      <c r="Z84">
        <f t="shared" si="16"/>
        <v>2.508217746644224E-10</v>
      </c>
      <c r="AQ84" s="5">
        <v>3.63E-09</v>
      </c>
      <c r="AR84" s="5">
        <v>1.28376436579</v>
      </c>
      <c r="AS84" s="5">
        <v>6206.8097787158</v>
      </c>
      <c r="AT84">
        <f t="shared" si="17"/>
        <v>-1.8423790970680642E-09</v>
      </c>
      <c r="AV84" s="5">
        <v>2.3E-10</v>
      </c>
      <c r="AW84" s="5">
        <v>4.4438898555</v>
      </c>
      <c r="AX84" s="5">
        <v>18849.2275499742</v>
      </c>
      <c r="AY84">
        <f t="shared" si="18"/>
        <v>-2.20607687029202E-10</v>
      </c>
      <c r="BP84" s="5">
        <v>5.337E-08</v>
      </c>
      <c r="BQ84" s="5">
        <v>5.09957905104</v>
      </c>
      <c r="BR84" s="5">
        <v>31441.6775697568</v>
      </c>
      <c r="BS84">
        <f t="shared" si="19"/>
        <v>-3.4543066995500316E-09</v>
      </c>
      <c r="BU84" s="5">
        <v>3.81E-09</v>
      </c>
      <c r="BV84" s="5">
        <v>5.82033971802</v>
      </c>
      <c r="BW84" s="5">
        <v>7058.5984613154</v>
      </c>
      <c r="BX84">
        <f t="shared" si="20"/>
        <v>-6.797501964824488E-10</v>
      </c>
      <c r="BZ84" s="5">
        <v>4.3E-10</v>
      </c>
      <c r="CA84" s="5">
        <v>5.26370903404</v>
      </c>
      <c r="CB84" s="5">
        <v>10575.4066829418</v>
      </c>
      <c r="CC84">
        <f t="shared" si="21"/>
        <v>-4.296937110208928E-10</v>
      </c>
    </row>
    <row r="85" spans="13:81" ht="12.75">
      <c r="M85" s="5">
        <v>1.3971E-07</v>
      </c>
      <c r="N85" s="5">
        <v>4.40138139996</v>
      </c>
      <c r="O85" s="5">
        <v>6681.2248533996</v>
      </c>
      <c r="P85">
        <f t="shared" si="14"/>
        <v>7.098480202162839E-09</v>
      </c>
      <c r="R85" s="5">
        <v>1.051E-08</v>
      </c>
      <c r="S85" s="5">
        <v>3.75015946014</v>
      </c>
      <c r="T85" s="5">
        <v>7860.4193924392</v>
      </c>
      <c r="U85">
        <f t="shared" si="15"/>
        <v>1.0163651338770532E-08</v>
      </c>
      <c r="W85" s="5">
        <v>8.9E-10</v>
      </c>
      <c r="X85" s="5">
        <v>1.35567273119</v>
      </c>
      <c r="Y85" s="5">
        <v>6681.2248533996</v>
      </c>
      <c r="Z85">
        <f t="shared" si="16"/>
        <v>-1.3010800646313884E-10</v>
      </c>
      <c r="AQ85" s="5">
        <v>3.53E-09</v>
      </c>
      <c r="AR85" s="5">
        <v>4.7005913311</v>
      </c>
      <c r="AS85" s="5">
        <v>7234.794256242</v>
      </c>
      <c r="AT85">
        <f t="shared" si="17"/>
        <v>2.6855340748825523E-09</v>
      </c>
      <c r="AV85" s="5">
        <v>2.8E-10</v>
      </c>
      <c r="AW85" s="5">
        <v>1.53862289477</v>
      </c>
      <c r="AX85" s="5">
        <v>6279.4854213396</v>
      </c>
      <c r="AY85">
        <f t="shared" si="18"/>
        <v>-2.7834362038334893E-10</v>
      </c>
      <c r="BP85" s="5">
        <v>3.967E-08</v>
      </c>
      <c r="BQ85" s="5">
        <v>1.20054555174</v>
      </c>
      <c r="BR85" s="5">
        <v>1349.8674096588</v>
      </c>
      <c r="BS85">
        <f t="shared" si="19"/>
        <v>1.8939193456769E-08</v>
      </c>
      <c r="BU85" s="5">
        <v>3.21E-09</v>
      </c>
      <c r="BV85" s="5">
        <v>0.31988767355</v>
      </c>
      <c r="BW85" s="5">
        <v>16200.7727245012</v>
      </c>
      <c r="BX85">
        <f t="shared" si="20"/>
        <v>-7.35173502460161E-10</v>
      </c>
      <c r="BZ85" s="5">
        <v>4.2E-10</v>
      </c>
      <c r="CA85" s="5">
        <v>5.08837645072</v>
      </c>
      <c r="CB85" s="5">
        <v>11015.1064773348</v>
      </c>
      <c r="CC85">
        <f t="shared" si="21"/>
        <v>-2.193114789740174E-10</v>
      </c>
    </row>
    <row r="86" spans="13:81" ht="12.75">
      <c r="M86" s="5">
        <v>1.3621E-07</v>
      </c>
      <c r="N86" s="5">
        <v>1.88934471407</v>
      </c>
      <c r="O86" s="5">
        <v>7632.9432596502</v>
      </c>
      <c r="P86">
        <f t="shared" si="14"/>
        <v>2.695322299675168E-08</v>
      </c>
      <c r="R86" s="5">
        <v>1.025E-08</v>
      </c>
      <c r="S86" s="5">
        <v>2.44688534235</v>
      </c>
      <c r="T86" s="5">
        <v>1990.745017041</v>
      </c>
      <c r="U86">
        <f t="shared" si="15"/>
        <v>-1.9261685593373634E-09</v>
      </c>
      <c r="W86" s="5">
        <v>6.6E-10</v>
      </c>
      <c r="X86" s="5">
        <v>0.99455837265</v>
      </c>
      <c r="Y86" s="5">
        <v>6525.8044539654</v>
      </c>
      <c r="Z86">
        <f t="shared" si="16"/>
        <v>5.619353246727121E-10</v>
      </c>
      <c r="AQ86" s="5">
        <v>4.15E-09</v>
      </c>
      <c r="AR86" s="5">
        <v>0.96862624175</v>
      </c>
      <c r="AS86" s="5">
        <v>4136.9104335162</v>
      </c>
      <c r="AT86">
        <f t="shared" si="17"/>
        <v>2.809513855823693E-10</v>
      </c>
      <c r="AV86" s="5">
        <v>2.8E-10</v>
      </c>
      <c r="AW86" s="5">
        <v>1.96831814872</v>
      </c>
      <c r="AX86" s="5">
        <v>6286.6662786432</v>
      </c>
      <c r="AY86">
        <f t="shared" si="18"/>
        <v>-2.2679096769635695E-10</v>
      </c>
      <c r="BP86" s="5">
        <v>4.008E-08</v>
      </c>
      <c r="BQ86" s="5">
        <v>3.03007204392</v>
      </c>
      <c r="BR86" s="5">
        <v>1059.3819301892</v>
      </c>
      <c r="BS86">
        <f t="shared" si="19"/>
        <v>-3.790474843849863E-08</v>
      </c>
      <c r="BU86" s="5">
        <v>3.64E-09</v>
      </c>
      <c r="BV86" s="5">
        <v>1.08414306177</v>
      </c>
      <c r="BW86" s="5">
        <v>6309.3741697912</v>
      </c>
      <c r="BX86">
        <f t="shared" si="20"/>
        <v>-3.63916891260295E-09</v>
      </c>
      <c r="BZ86" s="5">
        <v>4E-10</v>
      </c>
      <c r="CA86" s="5">
        <v>1.98334703186</v>
      </c>
      <c r="CB86" s="5">
        <v>6284.0561710596</v>
      </c>
      <c r="CC86">
        <f t="shared" si="21"/>
        <v>-3.2793324195353537E-10</v>
      </c>
    </row>
    <row r="87" spans="13:81" ht="12.75">
      <c r="M87" s="5">
        <v>1.2503E-07</v>
      </c>
      <c r="N87" s="5">
        <v>1.13052412208</v>
      </c>
      <c r="O87" s="5">
        <v>5.5229243074</v>
      </c>
      <c r="P87">
        <f t="shared" si="14"/>
        <v>4.549852731876464E-08</v>
      </c>
      <c r="R87" s="5">
        <v>9.62E-09</v>
      </c>
      <c r="S87" s="5">
        <v>0.81771017882</v>
      </c>
      <c r="T87" s="5">
        <v>3.881335358</v>
      </c>
      <c r="U87">
        <f t="shared" si="15"/>
        <v>6.237195974788488E-09</v>
      </c>
      <c r="W87" s="5">
        <v>6.7E-10</v>
      </c>
      <c r="X87" s="5">
        <v>5.5124099707</v>
      </c>
      <c r="Y87" s="5">
        <v>3097.88382272579</v>
      </c>
      <c r="Z87">
        <f t="shared" si="16"/>
        <v>6.093163812193374E-10</v>
      </c>
      <c r="AQ87" s="5">
        <v>3.87E-09</v>
      </c>
      <c r="AR87" s="5">
        <v>3.09145061418</v>
      </c>
      <c r="AS87" s="5">
        <v>25158.6017197654</v>
      </c>
      <c r="AT87">
        <f t="shared" si="17"/>
        <v>-2.0479834711645207E-09</v>
      </c>
      <c r="AV87" s="5">
        <v>2.8E-10</v>
      </c>
      <c r="AW87" s="5">
        <v>5.78094918529</v>
      </c>
      <c r="AX87" s="5">
        <v>15110.4661198662</v>
      </c>
      <c r="AY87">
        <f t="shared" si="18"/>
        <v>-2.6710732389970787E-10</v>
      </c>
      <c r="BP87" s="5">
        <v>3.476E-08</v>
      </c>
      <c r="BQ87" s="5">
        <v>0.7608027703</v>
      </c>
      <c r="BR87" s="5">
        <v>10973.55568635</v>
      </c>
      <c r="BS87">
        <f t="shared" si="19"/>
        <v>-3.168232506807686E-08</v>
      </c>
      <c r="BU87" s="5">
        <v>2.94E-09</v>
      </c>
      <c r="BV87" s="5">
        <v>4.54798604957</v>
      </c>
      <c r="BW87" s="5">
        <v>11856.2186514245</v>
      </c>
      <c r="BX87">
        <f t="shared" si="20"/>
        <v>2.3261960233495258E-09</v>
      </c>
      <c r="BZ87" s="5">
        <v>4.2E-10</v>
      </c>
      <c r="CA87" s="5">
        <v>4.22496037505</v>
      </c>
      <c r="CB87" s="5">
        <v>88860.0570709866</v>
      </c>
      <c r="CC87">
        <f t="shared" si="21"/>
        <v>-2.2033030587748417E-10</v>
      </c>
    </row>
    <row r="88" spans="13:81" ht="12.75">
      <c r="M88" s="5">
        <v>1.0498E-07</v>
      </c>
      <c r="N88" s="5">
        <v>5.35909518669</v>
      </c>
      <c r="O88" s="5">
        <v>1592.5960136328</v>
      </c>
      <c r="P88">
        <f t="shared" si="14"/>
        <v>1.025159479230588E-07</v>
      </c>
      <c r="R88" s="5">
        <v>9.1E-09</v>
      </c>
      <c r="S88" s="5">
        <v>0.41727865299</v>
      </c>
      <c r="T88" s="5">
        <v>7079.3738568078</v>
      </c>
      <c r="U88">
        <f t="shared" si="15"/>
        <v>7.433008504446295E-09</v>
      </c>
      <c r="W88" s="5">
        <v>7.6E-10</v>
      </c>
      <c r="X88" s="5">
        <v>2.72016814799</v>
      </c>
      <c r="Y88" s="5">
        <v>4164.311989613</v>
      </c>
      <c r="Z88">
        <f t="shared" si="16"/>
        <v>-6.845126797944267E-10</v>
      </c>
      <c r="AQ88" s="5">
        <v>3.73E-09</v>
      </c>
      <c r="AR88" s="5">
        <v>2.65119262792</v>
      </c>
      <c r="AS88" s="5">
        <v>7342.4577801806</v>
      </c>
      <c r="AT88">
        <f t="shared" si="17"/>
        <v>5.100768949546028E-10</v>
      </c>
      <c r="AV88" s="5">
        <v>2.6E-10</v>
      </c>
      <c r="AW88" s="5">
        <v>2.48165809843</v>
      </c>
      <c r="AX88" s="5">
        <v>5729.506447149</v>
      </c>
      <c r="AY88">
        <f t="shared" si="18"/>
        <v>-2.1726849855248762E-10</v>
      </c>
      <c r="BP88" s="5">
        <v>4.232E-08</v>
      </c>
      <c r="BQ88" s="5">
        <v>1.05485713117</v>
      </c>
      <c r="BR88" s="5">
        <v>5760.4984318976</v>
      </c>
      <c r="BS88">
        <f t="shared" si="19"/>
        <v>-3.78313692526687E-08</v>
      </c>
      <c r="BU88" s="5">
        <v>2.9E-09</v>
      </c>
      <c r="BV88" s="5">
        <v>1.26473978562</v>
      </c>
      <c r="BW88" s="5">
        <v>8635.9420037632</v>
      </c>
      <c r="BX88">
        <f t="shared" si="20"/>
        <v>2.5489811060997113E-09</v>
      </c>
      <c r="BZ88" s="5">
        <v>2.9E-10</v>
      </c>
      <c r="CA88" s="5">
        <v>3.1908862817</v>
      </c>
      <c r="CB88" s="5">
        <v>11926.2544136688</v>
      </c>
      <c r="CC88">
        <f t="shared" si="21"/>
        <v>1.1711690705142885E-10</v>
      </c>
    </row>
    <row r="89" spans="13:81" ht="12.75">
      <c r="M89" s="5">
        <v>9.803E-08</v>
      </c>
      <c r="N89" s="5">
        <v>0.99947478995</v>
      </c>
      <c r="O89" s="5">
        <v>11371.7046897582</v>
      </c>
      <c r="P89">
        <f t="shared" si="14"/>
        <v>-7.295815294163867E-08</v>
      </c>
      <c r="R89" s="5">
        <v>8.83E-09</v>
      </c>
      <c r="S89" s="5">
        <v>5.16833917651</v>
      </c>
      <c r="T89" s="5">
        <v>11790.6290886588</v>
      </c>
      <c r="U89">
        <f t="shared" si="15"/>
        <v>5.873582444502541E-09</v>
      </c>
      <c r="W89" s="5">
        <v>6.3E-10</v>
      </c>
      <c r="X89" s="5">
        <v>1.4434990254</v>
      </c>
      <c r="Y89" s="5">
        <v>9917.6968745098</v>
      </c>
      <c r="Z89">
        <f t="shared" si="16"/>
        <v>-4.788151303613148E-10</v>
      </c>
      <c r="AQ89" s="5">
        <v>3.61E-09</v>
      </c>
      <c r="AR89" s="5">
        <v>2.97762937739</v>
      </c>
      <c r="AS89" s="5">
        <v>9623.6882766912</v>
      </c>
      <c r="AT89">
        <f t="shared" si="17"/>
        <v>-7.244262029153941E-10</v>
      </c>
      <c r="AV89" s="5">
        <v>2E-10</v>
      </c>
      <c r="AW89" s="5">
        <v>3.85655029499</v>
      </c>
      <c r="AX89" s="5">
        <v>9623.6882766912</v>
      </c>
      <c r="AY89">
        <f t="shared" si="18"/>
        <v>-1.764824290072964E-10</v>
      </c>
      <c r="BP89" s="5">
        <v>4.582E-08</v>
      </c>
      <c r="BQ89" s="5">
        <v>3.76570026763</v>
      </c>
      <c r="BR89" s="5">
        <v>6386.16862421</v>
      </c>
      <c r="BS89">
        <f t="shared" si="19"/>
        <v>4.011501008968013E-08</v>
      </c>
      <c r="BU89" s="5">
        <v>3.99E-09</v>
      </c>
      <c r="BV89" s="5">
        <v>4.16998866302</v>
      </c>
      <c r="BW89" s="5">
        <v>26.2983197998</v>
      </c>
      <c r="BX89">
        <f t="shared" si="20"/>
        <v>-8.686551556692626E-10</v>
      </c>
      <c r="BZ89" s="5">
        <v>2.9E-10</v>
      </c>
      <c r="CA89" s="5">
        <v>0.15217616684</v>
      </c>
      <c r="CB89" s="5">
        <v>12168.0026965746</v>
      </c>
      <c r="CC89">
        <f t="shared" si="21"/>
        <v>9.82414086565511E-11</v>
      </c>
    </row>
    <row r="90" spans="13:81" ht="12.75">
      <c r="M90" s="5">
        <v>9.22E-08</v>
      </c>
      <c r="N90" s="5">
        <v>4.57138609781</v>
      </c>
      <c r="O90" s="5">
        <v>4292.3308329504</v>
      </c>
      <c r="P90">
        <f t="shared" si="14"/>
        <v>6.863547180565723E-08</v>
      </c>
      <c r="R90" s="5">
        <v>9.57E-09</v>
      </c>
      <c r="S90" s="5">
        <v>4.07673573735</v>
      </c>
      <c r="T90" s="5">
        <v>6127.6554505572</v>
      </c>
      <c r="U90">
        <f t="shared" si="15"/>
        <v>-6.786487025207193E-09</v>
      </c>
      <c r="W90" s="5">
        <v>7.8E-10</v>
      </c>
      <c r="X90" s="5">
        <v>3.51469733747</v>
      </c>
      <c r="Y90" s="5">
        <v>11856.2186514245</v>
      </c>
      <c r="Z90">
        <f t="shared" si="16"/>
        <v>-9.374889143833762E-11</v>
      </c>
      <c r="AQ90" s="5">
        <v>4.18E-09</v>
      </c>
      <c r="AR90" s="5">
        <v>3.75759994446</v>
      </c>
      <c r="AS90" s="5">
        <v>5230.807466803</v>
      </c>
      <c r="AT90">
        <f t="shared" si="17"/>
        <v>1.802919369910795E-09</v>
      </c>
      <c r="AV90" s="5">
        <v>2.1E-10</v>
      </c>
      <c r="AW90" s="5">
        <v>5.83006047147</v>
      </c>
      <c r="AX90" s="5">
        <v>7234.794256242</v>
      </c>
      <c r="AY90">
        <f t="shared" si="18"/>
        <v>1.9147553713818339E-10</v>
      </c>
      <c r="BP90" s="5">
        <v>3.335E-08</v>
      </c>
      <c r="BQ90" s="5">
        <v>3.13829943354</v>
      </c>
      <c r="BR90" s="5">
        <v>6836.6452528338</v>
      </c>
      <c r="BS90">
        <f t="shared" si="19"/>
        <v>2.1389113427161356E-08</v>
      </c>
      <c r="BU90" s="5">
        <v>2.62E-09</v>
      </c>
      <c r="BV90" s="5">
        <v>5.08316906342</v>
      </c>
      <c r="BW90" s="5">
        <v>10177.2576795336</v>
      </c>
      <c r="BX90">
        <f t="shared" si="20"/>
        <v>-8.230299585850591E-10</v>
      </c>
      <c r="BZ90" s="5">
        <v>3E-10</v>
      </c>
      <c r="CA90" s="5">
        <v>1.61904744136</v>
      </c>
      <c r="CB90" s="5">
        <v>9779.1086761254</v>
      </c>
      <c r="CC90">
        <f t="shared" si="21"/>
        <v>-2.0492441191009688E-10</v>
      </c>
    </row>
    <row r="91" spans="13:81" ht="12.75">
      <c r="M91" s="5">
        <v>1.0327E-07</v>
      </c>
      <c r="N91" s="5">
        <v>6.19982566125</v>
      </c>
      <c r="O91" s="5">
        <v>6438.4962494256</v>
      </c>
      <c r="P91">
        <f t="shared" si="14"/>
        <v>-9.34581638538327E-08</v>
      </c>
      <c r="R91" s="5">
        <v>1.11E-08</v>
      </c>
      <c r="S91" s="5">
        <v>3.90096793825</v>
      </c>
      <c r="T91" s="5">
        <v>11506.7697697936</v>
      </c>
      <c r="U91">
        <f t="shared" si="15"/>
        <v>8.581567122229115E-09</v>
      </c>
      <c r="W91" s="5">
        <v>8.5E-10</v>
      </c>
      <c r="X91" s="5">
        <v>0.50956043858</v>
      </c>
      <c r="Y91" s="5">
        <v>10575.4066829418</v>
      </c>
      <c r="Z91">
        <f t="shared" si="16"/>
        <v>-3.4114674691399552E-12</v>
      </c>
      <c r="AQ91" s="5">
        <v>3.96E-09</v>
      </c>
      <c r="AR91" s="5">
        <v>1.22507712354</v>
      </c>
      <c r="AS91" s="5">
        <v>6438.4962494256</v>
      </c>
      <c r="AT91">
        <f t="shared" si="17"/>
        <v>6.975934978220433E-10</v>
      </c>
      <c r="AV91" s="5">
        <v>2.1E-10</v>
      </c>
      <c r="AW91" s="5">
        <v>0.69628570421</v>
      </c>
      <c r="AX91" s="5">
        <v>398.1490034082</v>
      </c>
      <c r="AY91">
        <f t="shared" si="18"/>
        <v>1.609194164853793E-10</v>
      </c>
      <c r="BP91" s="5">
        <v>3.418E-08</v>
      </c>
      <c r="BQ91" s="5">
        <v>3.00072390334</v>
      </c>
      <c r="BR91" s="5">
        <v>4292.3308329504</v>
      </c>
      <c r="BS91">
        <f t="shared" si="19"/>
        <v>2.2825818871980963E-08</v>
      </c>
      <c r="BU91" s="5">
        <v>2.43E-09</v>
      </c>
      <c r="BV91" s="5">
        <v>2.2574609119</v>
      </c>
      <c r="BW91" s="5">
        <v>11712.9553182308</v>
      </c>
      <c r="BX91">
        <f t="shared" si="20"/>
        <v>-1.1293098806431031E-11</v>
      </c>
      <c r="BZ91" s="5">
        <v>2.7E-10</v>
      </c>
      <c r="CA91" s="5">
        <v>0.76388991416</v>
      </c>
      <c r="CB91" s="5">
        <v>1589.0728952838</v>
      </c>
      <c r="CC91">
        <f t="shared" si="21"/>
        <v>3.8523714082944726E-11</v>
      </c>
    </row>
    <row r="92" spans="13:81" ht="12.75">
      <c r="M92" s="5">
        <v>1.2003E-07</v>
      </c>
      <c r="N92" s="5">
        <v>1.003514567</v>
      </c>
      <c r="O92" s="5">
        <v>632.7837393132</v>
      </c>
      <c r="P92">
        <f t="shared" si="14"/>
        <v>-9.548947760514064E-08</v>
      </c>
      <c r="R92" s="5">
        <v>8.02E-09</v>
      </c>
      <c r="S92" s="5">
        <v>3.88778875582</v>
      </c>
      <c r="T92" s="5">
        <v>10973.55568635</v>
      </c>
      <c r="U92">
        <f t="shared" si="15"/>
        <v>7.357314548630233E-09</v>
      </c>
      <c r="W92" s="5">
        <v>6.7E-10</v>
      </c>
      <c r="X92" s="5">
        <v>3.62043033405</v>
      </c>
      <c r="Y92" s="5">
        <v>16496.3613962024</v>
      </c>
      <c r="Z92">
        <f t="shared" si="16"/>
        <v>2.7075771670528656E-10</v>
      </c>
      <c r="AQ92" s="5">
        <v>3.22E-09</v>
      </c>
      <c r="AR92" s="5">
        <v>1.21162178805</v>
      </c>
      <c r="AS92" s="5">
        <v>8662.240323563</v>
      </c>
      <c r="AT92">
        <f t="shared" si="17"/>
        <v>2.3185248707436895E-09</v>
      </c>
      <c r="AV92" s="5">
        <v>2.2E-10</v>
      </c>
      <c r="AW92" s="5">
        <v>5.02222806555</v>
      </c>
      <c r="AX92" s="5">
        <v>6127.6554505572</v>
      </c>
      <c r="AY92">
        <f t="shared" si="18"/>
        <v>3.444435655868239E-11</v>
      </c>
      <c r="BP92" s="5">
        <v>3.598E-08</v>
      </c>
      <c r="BQ92" s="5">
        <v>5.70718084323</v>
      </c>
      <c r="BR92" s="5">
        <v>5643.1785636774</v>
      </c>
      <c r="BS92">
        <f t="shared" si="19"/>
        <v>3.321407683216925E-08</v>
      </c>
      <c r="BU92" s="5">
        <v>2.37E-09</v>
      </c>
      <c r="BV92" s="5">
        <v>1.05070575346</v>
      </c>
      <c r="BW92" s="5">
        <v>242.728603974</v>
      </c>
      <c r="BX92">
        <f t="shared" si="20"/>
        <v>-1.492184093883428E-09</v>
      </c>
      <c r="BZ92" s="5">
        <v>3.6E-10</v>
      </c>
      <c r="CA92" s="5">
        <v>2.74712003443</v>
      </c>
      <c r="CB92" s="5">
        <v>3738.761430108</v>
      </c>
      <c r="CC92">
        <f t="shared" si="21"/>
        <v>-1.3246274683026654E-11</v>
      </c>
    </row>
    <row r="93" spans="13:81" ht="12.75">
      <c r="M93" s="5">
        <v>1.0827E-07</v>
      </c>
      <c r="N93" s="5">
        <v>0.32734520222</v>
      </c>
      <c r="O93" s="5">
        <v>103.0927742186</v>
      </c>
      <c r="P93">
        <f t="shared" si="14"/>
        <v>-2.435251173926476E-09</v>
      </c>
      <c r="R93" s="5">
        <v>7.8E-09</v>
      </c>
      <c r="S93" s="5">
        <v>2.39934293755</v>
      </c>
      <c r="T93" s="5">
        <v>1589.0728952838</v>
      </c>
      <c r="U93">
        <f t="shared" si="15"/>
        <v>-7.77597202561958E-09</v>
      </c>
      <c r="W93" s="5">
        <v>5.5E-10</v>
      </c>
      <c r="X93" s="5">
        <v>5.24637517308</v>
      </c>
      <c r="Y93" s="5">
        <v>3340.6124266998</v>
      </c>
      <c r="Z93">
        <f t="shared" si="16"/>
        <v>-3.6055023367138506E-10</v>
      </c>
      <c r="AQ93" s="5">
        <v>2.84E-09</v>
      </c>
      <c r="AR93" s="5">
        <v>5.64170320068</v>
      </c>
      <c r="AS93" s="5">
        <v>1589.0728952838</v>
      </c>
      <c r="AT93">
        <f t="shared" si="17"/>
        <v>2.839296706178752E-09</v>
      </c>
      <c r="AV93" s="5">
        <v>2E-10</v>
      </c>
      <c r="AW93" s="5">
        <v>3.4761126529</v>
      </c>
      <c r="AX93" s="5">
        <v>6148.010769956</v>
      </c>
      <c r="AY93">
        <f t="shared" si="18"/>
        <v>-1.81638629523384E-10</v>
      </c>
      <c r="BP93" s="5">
        <v>3.237E-08</v>
      </c>
      <c r="BQ93" s="5">
        <v>4.16448773994</v>
      </c>
      <c r="BR93" s="5">
        <v>9917.6968745098</v>
      </c>
      <c r="BS93">
        <f t="shared" si="19"/>
        <v>3.1047427918094744E-08</v>
      </c>
      <c r="BU93" s="5">
        <v>2.75E-09</v>
      </c>
      <c r="BV93" s="5">
        <v>3.45319481756</v>
      </c>
      <c r="BW93" s="5">
        <v>5884.9268465832</v>
      </c>
      <c r="BX93">
        <f t="shared" si="20"/>
        <v>2.6104490889688157E-09</v>
      </c>
      <c r="BZ93" s="5">
        <v>3.3E-10</v>
      </c>
      <c r="CA93" s="5">
        <v>3.08807829566</v>
      </c>
      <c r="CB93" s="5">
        <v>3930.2096962196</v>
      </c>
      <c r="CC93">
        <f t="shared" si="21"/>
        <v>1.5429118724187587E-10</v>
      </c>
    </row>
    <row r="94" spans="13:81" ht="12.75">
      <c r="M94" s="5">
        <v>8.356E-08</v>
      </c>
      <c r="N94" s="5">
        <v>4.53902685948</v>
      </c>
      <c r="O94" s="5">
        <v>25132.3033999656</v>
      </c>
      <c r="P94">
        <f t="shared" si="14"/>
        <v>4.487972149552091E-08</v>
      </c>
      <c r="R94" s="5">
        <v>7.58E-09</v>
      </c>
      <c r="S94" s="5">
        <v>1.30034364248</v>
      </c>
      <c r="T94" s="5">
        <v>103.0927742186</v>
      </c>
      <c r="U94">
        <f t="shared" si="15"/>
        <v>-6.3598258445553726E-09</v>
      </c>
      <c r="W94" s="5">
        <v>4.8E-10</v>
      </c>
      <c r="X94" s="5">
        <v>5.43966777314</v>
      </c>
      <c r="Y94" s="5">
        <v>20426.571092422</v>
      </c>
      <c r="Z94">
        <f t="shared" si="16"/>
        <v>1.1010751071683188E-10</v>
      </c>
      <c r="AQ94" s="5">
        <v>3.79E-09</v>
      </c>
      <c r="AR94" s="5">
        <v>1.72248432748</v>
      </c>
      <c r="AS94" s="5">
        <v>14945.3161735544</v>
      </c>
      <c r="AT94">
        <f t="shared" si="17"/>
        <v>-3.767955947589116E-09</v>
      </c>
      <c r="AV94" s="5">
        <v>2E-10</v>
      </c>
      <c r="AW94" s="5">
        <v>0.90769829044</v>
      </c>
      <c r="AX94" s="5">
        <v>5481.2549188676</v>
      </c>
      <c r="AY94">
        <f t="shared" si="18"/>
        <v>1.244269805225946E-10</v>
      </c>
      <c r="BP94" s="5">
        <v>4.154E-08</v>
      </c>
      <c r="BQ94" s="5">
        <v>2.59941292162</v>
      </c>
      <c r="BR94" s="5">
        <v>7058.5984613154</v>
      </c>
      <c r="BS94">
        <f t="shared" si="19"/>
        <v>1.0627194793235912E-08</v>
      </c>
      <c r="BU94" s="5">
        <v>2.55E-09</v>
      </c>
      <c r="BV94" s="5">
        <v>5.38496831087</v>
      </c>
      <c r="BW94" s="5">
        <v>21228.3920235458</v>
      </c>
      <c r="BX94">
        <f t="shared" si="20"/>
        <v>-1.4357777203934515E-09</v>
      </c>
      <c r="BZ94" s="5">
        <v>3.1E-10</v>
      </c>
      <c r="CA94" s="5">
        <v>5.34906619513</v>
      </c>
      <c r="CB94" s="5">
        <v>143571.324284816</v>
      </c>
      <c r="CC94">
        <f t="shared" si="21"/>
        <v>-2.902497849317561E-10</v>
      </c>
    </row>
    <row r="95" spans="13:81" ht="12.75">
      <c r="M95" s="5">
        <v>1.0005E-07</v>
      </c>
      <c r="N95" s="5">
        <v>6.0291496328</v>
      </c>
      <c r="O95" s="5">
        <v>5746.271337896</v>
      </c>
      <c r="P95">
        <f t="shared" si="14"/>
        <v>3.6882415777489434E-08</v>
      </c>
      <c r="R95" s="5">
        <v>7.49E-09</v>
      </c>
      <c r="S95" s="5">
        <v>4.962758033</v>
      </c>
      <c r="T95" s="5">
        <v>6496.3749454294</v>
      </c>
      <c r="U95">
        <f t="shared" si="15"/>
        <v>-7.461741794761524E-09</v>
      </c>
      <c r="W95" s="5">
        <v>6.4E-10</v>
      </c>
      <c r="X95" s="5">
        <v>5.79535817813</v>
      </c>
      <c r="Y95" s="5">
        <v>2388.8940204492</v>
      </c>
      <c r="Z95">
        <f t="shared" si="16"/>
        <v>-5.37891518368811E-10</v>
      </c>
      <c r="AQ95" s="5">
        <v>3.2E-09</v>
      </c>
      <c r="AR95" s="5">
        <v>3.94161159962</v>
      </c>
      <c r="AS95" s="5">
        <v>7330.8231617461</v>
      </c>
      <c r="AT95">
        <f t="shared" si="17"/>
        <v>3.0699555851622565E-09</v>
      </c>
      <c r="AV95" s="5">
        <v>2E-10</v>
      </c>
      <c r="AW95" s="5">
        <v>0.03081589303</v>
      </c>
      <c r="AX95" s="5">
        <v>6418.1409300268</v>
      </c>
      <c r="AY95">
        <f t="shared" si="18"/>
        <v>-1.908495479571227E-10</v>
      </c>
      <c r="BP95" s="5">
        <v>3.362E-08</v>
      </c>
      <c r="BQ95" s="5">
        <v>4.54577697964</v>
      </c>
      <c r="BR95" s="5">
        <v>4732.0306273434</v>
      </c>
      <c r="BS95">
        <f t="shared" si="19"/>
        <v>3.308704547356185E-08</v>
      </c>
      <c r="BU95" s="5">
        <v>3.07E-09</v>
      </c>
      <c r="BV95" s="5">
        <v>4.24313526604</v>
      </c>
      <c r="BW95" s="5">
        <v>3738.761430108</v>
      </c>
      <c r="BX95">
        <f t="shared" si="20"/>
        <v>3.05090734543593E-09</v>
      </c>
      <c r="BZ95" s="5">
        <v>2.5E-10</v>
      </c>
      <c r="CA95" s="5">
        <v>0.10240267494</v>
      </c>
      <c r="CB95" s="5">
        <v>22483.8485744925</v>
      </c>
      <c r="CC95">
        <f t="shared" si="21"/>
        <v>2.413727710497622E-10</v>
      </c>
    </row>
    <row r="96" spans="13:81" ht="12.75">
      <c r="M96" s="5">
        <v>8.409E-08</v>
      </c>
      <c r="N96" s="5">
        <v>3.29946744189</v>
      </c>
      <c r="O96" s="5">
        <v>7234.794256242</v>
      </c>
      <c r="P96">
        <f t="shared" si="14"/>
        <v>-4.298953910605577E-08</v>
      </c>
      <c r="R96" s="5">
        <v>7.65E-09</v>
      </c>
      <c r="S96" s="5">
        <v>3.36312388424</v>
      </c>
      <c r="T96" s="5">
        <v>36.0278666774</v>
      </c>
      <c r="U96">
        <f t="shared" si="15"/>
        <v>-6.024906202981295E-09</v>
      </c>
      <c r="W96" s="5">
        <v>4.6E-10</v>
      </c>
      <c r="X96" s="5">
        <v>5.43499966519</v>
      </c>
      <c r="Y96" s="5">
        <v>6275.9623029906</v>
      </c>
      <c r="Z96">
        <f t="shared" si="16"/>
        <v>3.137051068844349E-10</v>
      </c>
      <c r="AQ96" s="5">
        <v>3.13E-09</v>
      </c>
      <c r="AR96" s="5">
        <v>5.47602376446</v>
      </c>
      <c r="AS96" s="5">
        <v>1194.4470102246</v>
      </c>
      <c r="AT96">
        <f t="shared" si="17"/>
        <v>8.556983778152624E-10</v>
      </c>
      <c r="AV96" s="5">
        <v>2E-10</v>
      </c>
      <c r="AW96" s="5">
        <v>3.74220084927</v>
      </c>
      <c r="AX96" s="5">
        <v>1589.0728952838</v>
      </c>
      <c r="AY96">
        <f t="shared" si="18"/>
        <v>-6.033532814974091E-11</v>
      </c>
      <c r="BP96" s="5">
        <v>2.978E-08</v>
      </c>
      <c r="BQ96" s="5">
        <v>1.3056126882</v>
      </c>
      <c r="BR96" s="5">
        <v>6283.14316029419</v>
      </c>
      <c r="BS96">
        <f t="shared" si="19"/>
        <v>-2.9686486608020388E-08</v>
      </c>
      <c r="BU96" s="5">
        <v>2.16E-09</v>
      </c>
      <c r="BV96" s="5">
        <v>3.46037894728</v>
      </c>
      <c r="BW96" s="5">
        <v>213.299095438</v>
      </c>
      <c r="BX96">
        <f t="shared" si="20"/>
        <v>2.1154011747307956E-09</v>
      </c>
      <c r="BZ96" s="5">
        <v>3E-10</v>
      </c>
      <c r="CA96" s="5">
        <v>3.47110495524</v>
      </c>
      <c r="CB96" s="5">
        <v>14945.3161735544</v>
      </c>
      <c r="CC96">
        <f t="shared" si="21"/>
        <v>2.0957940245263328E-11</v>
      </c>
    </row>
    <row r="97" spans="13:81" ht="12.75">
      <c r="M97" s="5">
        <v>8.006E-08</v>
      </c>
      <c r="N97" s="5">
        <v>5.82145271907</v>
      </c>
      <c r="O97" s="5">
        <v>28.4491874678</v>
      </c>
      <c r="P97">
        <f t="shared" si="14"/>
        <v>7.95549293327472E-08</v>
      </c>
      <c r="R97" s="5">
        <v>9.15E-09</v>
      </c>
      <c r="S97" s="5">
        <v>5.41543742089</v>
      </c>
      <c r="T97" s="5">
        <v>206.1855484372</v>
      </c>
      <c r="U97">
        <f t="shared" si="15"/>
        <v>-8.528816289883681E-10</v>
      </c>
      <c r="W97" s="5">
        <v>5E-10</v>
      </c>
      <c r="X97" s="5">
        <v>3.86263598617</v>
      </c>
      <c r="Y97" s="5">
        <v>5729.506447149</v>
      </c>
      <c r="Z97">
        <f t="shared" si="16"/>
        <v>1.9086451811428685E-10</v>
      </c>
      <c r="AQ97" s="5">
        <v>2.92E-09</v>
      </c>
      <c r="AR97" s="5">
        <v>1.38971327603</v>
      </c>
      <c r="AS97" s="5">
        <v>11769.8536931664</v>
      </c>
      <c r="AT97">
        <f t="shared" si="17"/>
        <v>4.779083748137555E-10</v>
      </c>
      <c r="AV97" s="5">
        <v>2.1E-10</v>
      </c>
      <c r="AW97" s="5">
        <v>4.00149269576</v>
      </c>
      <c r="AX97" s="5">
        <v>3154.6870848956</v>
      </c>
      <c r="AY97">
        <f t="shared" si="18"/>
        <v>6.775359974543313E-11</v>
      </c>
      <c r="BP97" s="5">
        <v>2.765E-08</v>
      </c>
      <c r="BQ97" s="5">
        <v>0.51311975679</v>
      </c>
      <c r="BR97" s="5">
        <v>26.2983197998</v>
      </c>
      <c r="BS97">
        <f t="shared" si="19"/>
        <v>1.8536438935797506E-08</v>
      </c>
      <c r="BU97" s="5">
        <v>1.96E-09</v>
      </c>
      <c r="BV97" s="5">
        <v>0.69029243914</v>
      </c>
      <c r="BW97" s="5">
        <v>1990.745017041</v>
      </c>
      <c r="BX97">
        <f t="shared" si="20"/>
        <v>1.9599896724789573E-09</v>
      </c>
      <c r="BZ97" s="5">
        <v>2.4E-10</v>
      </c>
      <c r="CA97" s="5">
        <v>1.10425016019</v>
      </c>
      <c r="CB97" s="5">
        <v>4535.0594369244</v>
      </c>
      <c r="CC97">
        <f t="shared" si="21"/>
        <v>2.328548878260914E-10</v>
      </c>
    </row>
    <row r="98" spans="13:81" ht="12.75">
      <c r="M98" s="5">
        <v>1.0523E-07</v>
      </c>
      <c r="N98" s="5">
        <v>0.93871805506</v>
      </c>
      <c r="O98" s="5">
        <v>11926.2544136688</v>
      </c>
      <c r="P98">
        <f t="shared" si="14"/>
        <v>-1.0153877682307593E-07</v>
      </c>
      <c r="R98" s="5">
        <v>7.76E-09</v>
      </c>
      <c r="S98" s="5">
        <v>2.57589093871</v>
      </c>
      <c r="T98" s="5">
        <v>11371.7046897582</v>
      </c>
      <c r="U98">
        <f t="shared" si="15"/>
        <v>-5.150434393055804E-09</v>
      </c>
      <c r="W98" s="5">
        <v>4.4E-10</v>
      </c>
      <c r="X98" s="5">
        <v>1.52269529228</v>
      </c>
      <c r="Y98" s="5">
        <v>12168.0026965746</v>
      </c>
      <c r="Z98">
        <f t="shared" si="16"/>
        <v>4.353619033315002E-10</v>
      </c>
      <c r="AQ98" s="5">
        <v>3.05E-09</v>
      </c>
      <c r="AR98" s="5">
        <v>0.80429352049</v>
      </c>
      <c r="AS98" s="5">
        <v>37724.7534197482</v>
      </c>
      <c r="AT98">
        <f t="shared" si="17"/>
        <v>1.886732336059139E-09</v>
      </c>
      <c r="AV98" s="5">
        <v>1.8E-10</v>
      </c>
      <c r="AW98" s="5">
        <v>1.58348238359</v>
      </c>
      <c r="AX98" s="5">
        <v>2118.7638603784</v>
      </c>
      <c r="AY98">
        <f t="shared" si="18"/>
        <v>-1.407376735813429E-10</v>
      </c>
      <c r="BP98" s="5">
        <v>2.802E-08</v>
      </c>
      <c r="BQ98" s="5">
        <v>5.66263240521</v>
      </c>
      <c r="BR98" s="5">
        <v>8635.9420037632</v>
      </c>
      <c r="BS98">
        <f t="shared" si="19"/>
        <v>5.088756308945944E-09</v>
      </c>
      <c r="BU98" s="5">
        <v>1.98E-09</v>
      </c>
      <c r="BV98" s="5">
        <v>5.16301829964</v>
      </c>
      <c r="BW98" s="5">
        <v>12352.8526045448</v>
      </c>
      <c r="BX98">
        <f t="shared" si="20"/>
        <v>1.9289189484242036E-09</v>
      </c>
      <c r="BZ98" s="5">
        <v>2.4E-10</v>
      </c>
      <c r="CA98" s="5">
        <v>1.5803725978</v>
      </c>
      <c r="CB98" s="5">
        <v>6496.3749454294</v>
      </c>
      <c r="CC98">
        <f t="shared" si="21"/>
        <v>2.2722955930055391E-10</v>
      </c>
    </row>
    <row r="99" spans="13:81" ht="12.75">
      <c r="M99" s="5">
        <v>7.686E-08</v>
      </c>
      <c r="N99" s="5">
        <v>3.12142363172</v>
      </c>
      <c r="O99" s="5">
        <v>7238.6755916</v>
      </c>
      <c r="P99">
        <f t="shared" si="14"/>
        <v>-4.754806566968011E-08</v>
      </c>
      <c r="R99" s="5">
        <v>7.72E-09</v>
      </c>
      <c r="S99" s="5">
        <v>3.98369209464</v>
      </c>
      <c r="T99" s="5">
        <v>955.5997416086</v>
      </c>
      <c r="U99">
        <f t="shared" si="15"/>
        <v>-7.719599994810221E-09</v>
      </c>
      <c r="W99" s="5">
        <v>5.7E-10</v>
      </c>
      <c r="X99" s="5">
        <v>4.96352373486</v>
      </c>
      <c r="Y99" s="5">
        <v>14945.3161735544</v>
      </c>
      <c r="Z99">
        <f t="shared" si="16"/>
        <v>5.699795983706281E-10</v>
      </c>
      <c r="AQ99" s="5">
        <v>2.57E-09</v>
      </c>
      <c r="AR99" s="5">
        <v>5.81382809757</v>
      </c>
      <c r="AS99" s="5">
        <v>426.598190876</v>
      </c>
      <c r="AT99">
        <f t="shared" si="17"/>
        <v>1.4574229194180904E-10</v>
      </c>
      <c r="AV99" s="5">
        <v>1.9E-10</v>
      </c>
      <c r="AW99" s="5">
        <v>0.85407021371</v>
      </c>
      <c r="AX99" s="5">
        <v>14712.317116458</v>
      </c>
      <c r="AY99">
        <f t="shared" si="18"/>
        <v>1.4582296267233616E-10</v>
      </c>
      <c r="BP99" s="5">
        <v>2.927E-08</v>
      </c>
      <c r="BQ99" s="5">
        <v>5.73787481548</v>
      </c>
      <c r="BR99" s="5">
        <v>16200.7727245012</v>
      </c>
      <c r="BS99">
        <f t="shared" si="19"/>
        <v>-2.6036004623029033E-08</v>
      </c>
      <c r="BU99" s="5">
        <v>2.14E-09</v>
      </c>
      <c r="BV99" s="5">
        <v>3.91876200279</v>
      </c>
      <c r="BW99" s="5">
        <v>13916.0191096416</v>
      </c>
      <c r="BX99">
        <f t="shared" si="20"/>
        <v>9.202419317010159E-10</v>
      </c>
      <c r="BZ99" s="5">
        <v>2.3E-10</v>
      </c>
      <c r="CA99" s="5">
        <v>3.87710321433</v>
      </c>
      <c r="CB99" s="5">
        <v>6275.9623029906</v>
      </c>
      <c r="CC99">
        <f t="shared" si="21"/>
        <v>1.7022726964282822E-10</v>
      </c>
    </row>
    <row r="100" spans="13:81" ht="12.75">
      <c r="M100" s="5">
        <v>9.378E-08</v>
      </c>
      <c r="N100" s="5">
        <v>2.62414241032</v>
      </c>
      <c r="O100" s="5">
        <v>5760.4984318976</v>
      </c>
      <c r="P100">
        <f t="shared" si="14"/>
        <v>-4.215833068133634E-08</v>
      </c>
      <c r="R100" s="5">
        <v>7.49E-09</v>
      </c>
      <c r="S100" s="5">
        <v>5.17890001805</v>
      </c>
      <c r="T100" s="5">
        <v>10969.9652576982</v>
      </c>
      <c r="U100">
        <f t="shared" si="15"/>
        <v>-6.4034522103009E-10</v>
      </c>
      <c r="W100" s="5">
        <v>4.5E-10</v>
      </c>
      <c r="X100" s="5">
        <v>1.0086123016</v>
      </c>
      <c r="Y100" s="5">
        <v>8635.9420037632</v>
      </c>
      <c r="Z100">
        <f t="shared" si="16"/>
        <v>4.3699555824452475E-10</v>
      </c>
      <c r="AQ100" s="5">
        <v>2.65E-09</v>
      </c>
      <c r="AR100" s="5">
        <v>6.10358507671</v>
      </c>
      <c r="AS100" s="5">
        <v>6836.6452528338</v>
      </c>
      <c r="AT100">
        <f t="shared" si="17"/>
        <v>-1.3166243964180667E-09</v>
      </c>
      <c r="BP100" s="5">
        <v>3.164E-08</v>
      </c>
      <c r="BQ100" s="5">
        <v>1.69140262657</v>
      </c>
      <c r="BR100" s="5">
        <v>11015.1064773348</v>
      </c>
      <c r="BS100">
        <f t="shared" si="19"/>
        <v>9.169108360988484E-09</v>
      </c>
      <c r="BU100" s="5">
        <v>2.12E-09</v>
      </c>
      <c r="BV100" s="5">
        <v>4.00861198517</v>
      </c>
      <c r="BW100" s="5">
        <v>5230.807466803</v>
      </c>
      <c r="BX100">
        <f t="shared" si="20"/>
        <v>1.3608187290179805E-09</v>
      </c>
      <c r="BZ100" s="5">
        <v>2.5E-10</v>
      </c>
      <c r="CA100" s="5">
        <v>3.9452977897</v>
      </c>
      <c r="CB100" s="5">
        <v>3128.3887650958</v>
      </c>
      <c r="CC100">
        <f t="shared" si="21"/>
        <v>-1.2648681729341713E-11</v>
      </c>
    </row>
    <row r="101" spans="13:81" ht="12.75">
      <c r="M101" s="5">
        <v>8.127E-08</v>
      </c>
      <c r="N101" s="5">
        <v>6.11228001785</v>
      </c>
      <c r="O101" s="5">
        <v>4732.0306273434</v>
      </c>
      <c r="P101">
        <f t="shared" si="14"/>
        <v>1.4756552377687303E-08</v>
      </c>
      <c r="R101" s="5">
        <v>8.06E-09</v>
      </c>
      <c r="S101" s="5">
        <v>0.34218864254</v>
      </c>
      <c r="T101" s="5">
        <v>9917.6968745098</v>
      </c>
      <c r="U101">
        <f t="shared" si="15"/>
        <v>-7.442870487629658E-09</v>
      </c>
      <c r="W101" s="5">
        <v>4.3E-10</v>
      </c>
      <c r="X101" s="5">
        <v>3.30685683359</v>
      </c>
      <c r="Y101" s="5">
        <v>9779.1086761254</v>
      </c>
      <c r="Z101">
        <f t="shared" si="16"/>
        <v>-2.7760837070779075E-10</v>
      </c>
      <c r="AQ101" s="5">
        <v>2.5E-09</v>
      </c>
      <c r="AR101" s="5">
        <v>4.56452895547</v>
      </c>
      <c r="AS101" s="5">
        <v>7477.522860216</v>
      </c>
      <c r="AT101">
        <f t="shared" si="17"/>
        <v>-1.343768036895568E-09</v>
      </c>
      <c r="BP101" s="5">
        <v>2.598E-08</v>
      </c>
      <c r="BQ101" s="5">
        <v>2.96244118586</v>
      </c>
      <c r="BR101" s="5">
        <v>25132.3033999656</v>
      </c>
      <c r="BS101">
        <f t="shared" si="19"/>
        <v>-2.199509819859455E-08</v>
      </c>
      <c r="BU101" s="5">
        <v>1.84E-09</v>
      </c>
      <c r="BV101" s="5">
        <v>5.59805976614</v>
      </c>
      <c r="BW101" s="5">
        <v>6283.14316029419</v>
      </c>
      <c r="BX101">
        <f t="shared" si="20"/>
        <v>8.808684866355547E-10</v>
      </c>
      <c r="BZ101" s="5">
        <v>2.3E-10</v>
      </c>
      <c r="CA101" s="5">
        <v>3.44685609601</v>
      </c>
      <c r="CB101" s="5">
        <v>4136.9104335162</v>
      </c>
      <c r="CC101">
        <f t="shared" si="21"/>
        <v>-1.5357080629883474E-10</v>
      </c>
    </row>
    <row r="102" spans="13:81" ht="12.75">
      <c r="M102" s="5">
        <v>9.232E-08</v>
      </c>
      <c r="N102" s="5">
        <v>0.48343968736</v>
      </c>
      <c r="O102" s="5">
        <v>522.5774180938</v>
      </c>
      <c r="P102">
        <f t="shared" si="14"/>
        <v>7.528002792541845E-08</v>
      </c>
      <c r="R102" s="5">
        <v>7.28E-09</v>
      </c>
      <c r="S102" s="5">
        <v>5.20962563787</v>
      </c>
      <c r="T102" s="5">
        <v>38.0276726358</v>
      </c>
      <c r="U102">
        <f t="shared" si="15"/>
        <v>5.981214469636869E-09</v>
      </c>
      <c r="W102" s="5">
        <v>4.2E-10</v>
      </c>
      <c r="X102" s="5">
        <v>0.6348125893</v>
      </c>
      <c r="Y102" s="5">
        <v>2699.7348193176</v>
      </c>
      <c r="Z102">
        <f t="shared" si="16"/>
        <v>-3.0127397165188096E-10</v>
      </c>
      <c r="AQ102" s="5">
        <v>2.66E-09</v>
      </c>
      <c r="AR102" s="5">
        <v>2.62926282354</v>
      </c>
      <c r="AS102" s="5">
        <v>7238.6755916</v>
      </c>
      <c r="AT102">
        <f t="shared" si="17"/>
        <v>-2.4378045280522698E-09</v>
      </c>
      <c r="BP102" s="5">
        <v>3.519E-08</v>
      </c>
      <c r="BQ102" s="5">
        <v>3.62639325753</v>
      </c>
      <c r="BR102" s="5">
        <v>244287.600007227</v>
      </c>
      <c r="BS102">
        <f t="shared" si="19"/>
        <v>3.516804958610113E-08</v>
      </c>
      <c r="BU102" s="5">
        <v>1.84E-09</v>
      </c>
      <c r="BV102" s="5">
        <v>2.85275392124</v>
      </c>
      <c r="BW102" s="5">
        <v>7238.6755916</v>
      </c>
      <c r="BX102">
        <f t="shared" si="20"/>
        <v>-1.481194271734346E-09</v>
      </c>
      <c r="BZ102" s="5">
        <v>2.3E-10</v>
      </c>
      <c r="CA102" s="5">
        <v>3.83156029849</v>
      </c>
      <c r="CB102" s="5">
        <v>5753.3848848968</v>
      </c>
      <c r="CC102">
        <f t="shared" si="21"/>
        <v>1.3988946190444834E-10</v>
      </c>
    </row>
    <row r="103" spans="13:81" ht="12.75">
      <c r="M103" s="5">
        <v>9.802E-08</v>
      </c>
      <c r="N103" s="5">
        <v>5.24413991147</v>
      </c>
      <c r="O103" s="5">
        <v>27511.4678735372</v>
      </c>
      <c r="P103">
        <f t="shared" si="14"/>
        <v>-7.84847274726181E-08</v>
      </c>
      <c r="R103" s="5">
        <v>6.85E-09</v>
      </c>
      <c r="S103" s="5">
        <v>2.77592961854</v>
      </c>
      <c r="T103" s="5">
        <v>20.7753954924</v>
      </c>
      <c r="U103">
        <f t="shared" si="15"/>
        <v>-6.8081861622448616E-09</v>
      </c>
      <c r="W103" s="5">
        <v>4.1E-10</v>
      </c>
      <c r="X103" s="5">
        <v>5.67996766641</v>
      </c>
      <c r="Y103" s="5">
        <v>11712.9553182308</v>
      </c>
      <c r="Z103">
        <f t="shared" si="16"/>
        <v>1.1549545882966393E-10</v>
      </c>
      <c r="AQ103" s="5">
        <v>2.63E-09</v>
      </c>
      <c r="AR103" s="5">
        <v>6.22089501237</v>
      </c>
      <c r="AS103" s="5">
        <v>6133.5126528568</v>
      </c>
      <c r="AT103">
        <f t="shared" si="17"/>
        <v>2.6031580548514355E-09</v>
      </c>
      <c r="BP103" s="5">
        <v>2.676E-08</v>
      </c>
      <c r="BQ103" s="5">
        <v>4.2072570085</v>
      </c>
      <c r="BR103" s="5">
        <v>18073.7049386502</v>
      </c>
      <c r="BS103">
        <f t="shared" si="19"/>
        <v>2.6728853119682582E-08</v>
      </c>
      <c r="BU103" s="5">
        <v>1.79E-09</v>
      </c>
      <c r="BV103" s="5">
        <v>2.54259058334</v>
      </c>
      <c r="BW103" s="5">
        <v>14314.1681130498</v>
      </c>
      <c r="BX103">
        <f t="shared" si="20"/>
        <v>-1.303720250903044E-09</v>
      </c>
      <c r="BZ103" s="5">
        <v>2.2E-10</v>
      </c>
      <c r="CA103" s="5">
        <v>1.86956128067</v>
      </c>
      <c r="CB103" s="5">
        <v>16730.4636895958</v>
      </c>
      <c r="CC103">
        <f t="shared" si="21"/>
        <v>2.1989461254977924E-10</v>
      </c>
    </row>
    <row r="104" spans="13:81" ht="12.75">
      <c r="M104" s="5">
        <v>7.871E-08</v>
      </c>
      <c r="N104" s="5">
        <v>0.99590177926</v>
      </c>
      <c r="O104" s="5">
        <v>5643.1785636774</v>
      </c>
      <c r="P104">
        <f t="shared" si="14"/>
        <v>3.018312249921817E-08</v>
      </c>
      <c r="R104" s="5">
        <v>6.36E-09</v>
      </c>
      <c r="S104" s="5">
        <v>4.28242193632</v>
      </c>
      <c r="T104" s="5">
        <v>28.4491874678</v>
      </c>
      <c r="U104">
        <f t="shared" si="15"/>
        <v>-5.121902546090676E-10</v>
      </c>
      <c r="W104" s="5">
        <v>5.6E-10</v>
      </c>
      <c r="X104" s="5">
        <v>4.34024451468</v>
      </c>
      <c r="Y104" s="5">
        <v>90955.5516944961</v>
      </c>
      <c r="Z104">
        <f t="shared" si="16"/>
        <v>-5.343176443252743E-10</v>
      </c>
      <c r="AQ104" s="5">
        <v>3.06E-09</v>
      </c>
      <c r="AR104" s="5">
        <v>2.79682380531</v>
      </c>
      <c r="AS104" s="5">
        <v>1748.016413067</v>
      </c>
      <c r="AT104">
        <f t="shared" si="17"/>
        <v>1.971180721896794E-09</v>
      </c>
      <c r="BP104" s="5">
        <v>2.978E-08</v>
      </c>
      <c r="BQ104" s="5">
        <v>1.74971565805</v>
      </c>
      <c r="BR104" s="5">
        <v>6283.0085396886</v>
      </c>
      <c r="BS104">
        <f t="shared" si="19"/>
        <v>-2.7837496580567995E-08</v>
      </c>
      <c r="BU104" s="5">
        <v>2.25E-09</v>
      </c>
      <c r="BV104" s="5">
        <v>1.64458698399</v>
      </c>
      <c r="BW104" s="5">
        <v>4732.0306273434</v>
      </c>
      <c r="BX104">
        <f t="shared" si="20"/>
        <v>-2.245661716960336E-09</v>
      </c>
      <c r="BZ104" s="5">
        <v>2.5E-10</v>
      </c>
      <c r="CA104" s="5">
        <v>2.42188933855</v>
      </c>
      <c r="CB104" s="5">
        <v>5729.506447149</v>
      </c>
      <c r="CC104">
        <f t="shared" si="21"/>
        <v>-2.167413201617351E-10</v>
      </c>
    </row>
    <row r="105" spans="13:81" ht="12.75">
      <c r="M105" s="5">
        <v>8.123E-08</v>
      </c>
      <c r="N105" s="5">
        <v>6.2705301365</v>
      </c>
      <c r="O105" s="5">
        <v>426.598190876</v>
      </c>
      <c r="P105">
        <f t="shared" si="14"/>
        <v>3.9898383756178245E-08</v>
      </c>
      <c r="R105" s="5">
        <v>6.08E-09</v>
      </c>
      <c r="S105" s="5">
        <v>5.63278508906</v>
      </c>
      <c r="T105" s="5">
        <v>10984.1923516998</v>
      </c>
      <c r="U105">
        <f t="shared" si="15"/>
        <v>-3.982419927709606E-09</v>
      </c>
      <c r="W105" s="5">
        <v>4.1E-10</v>
      </c>
      <c r="X105" s="5">
        <v>5.81722212845</v>
      </c>
      <c r="Y105" s="5">
        <v>709.9330485583</v>
      </c>
      <c r="Z105">
        <f t="shared" si="16"/>
        <v>-1.5883029490079988E-10</v>
      </c>
      <c r="AQ105" s="5">
        <v>2.36E-09</v>
      </c>
      <c r="AR105" s="5">
        <v>2.46093023714</v>
      </c>
      <c r="AS105" s="5">
        <v>11371.7046897582</v>
      </c>
      <c r="AT105">
        <f t="shared" si="17"/>
        <v>-1.7585171031978188E-09</v>
      </c>
      <c r="BP105" s="5">
        <v>2.287E-08</v>
      </c>
      <c r="BQ105" s="5">
        <v>1.06975704977</v>
      </c>
      <c r="BR105" s="5">
        <v>14314.1681130498</v>
      </c>
      <c r="BS105">
        <f t="shared" si="19"/>
        <v>1.3966705946110395E-08</v>
      </c>
      <c r="BU105" s="5">
        <v>2.36E-09</v>
      </c>
      <c r="BV105" s="5">
        <v>5.58826125715</v>
      </c>
      <c r="BW105" s="5">
        <v>6069.7767545534</v>
      </c>
      <c r="BX105">
        <f t="shared" si="20"/>
        <v>2.953195781286753E-11</v>
      </c>
      <c r="BZ105" s="5">
        <v>2E-10</v>
      </c>
      <c r="CA105" s="5">
        <v>1.78208352927</v>
      </c>
      <c r="CB105" s="5">
        <v>17789.845619785</v>
      </c>
      <c r="CC105">
        <f t="shared" si="21"/>
        <v>1.8959009547125462E-10</v>
      </c>
    </row>
    <row r="106" spans="13:81" ht="12.75">
      <c r="M106" s="5">
        <v>9.048E-08</v>
      </c>
      <c r="N106" s="5">
        <v>5.33686335897</v>
      </c>
      <c r="O106" s="5">
        <v>6386.16862421</v>
      </c>
      <c r="P106">
        <f t="shared" si="14"/>
        <v>-4.37520562180736E-08</v>
      </c>
      <c r="R106" s="5">
        <v>7.04E-09</v>
      </c>
      <c r="S106" s="5">
        <v>5.60738823665</v>
      </c>
      <c r="T106" s="5">
        <v>3738.761430108</v>
      </c>
      <c r="U106">
        <f t="shared" si="15"/>
        <v>2.202034631032924E-09</v>
      </c>
      <c r="W106" s="5">
        <v>5.3E-10</v>
      </c>
      <c r="X106" s="5">
        <v>6.17052087143</v>
      </c>
      <c r="Y106" s="5">
        <v>233141.314404361</v>
      </c>
      <c r="Z106">
        <f t="shared" si="16"/>
        <v>-3.7107252561678197E-10</v>
      </c>
      <c r="AQ106" s="5">
        <v>3.16E-09</v>
      </c>
      <c r="AR106" s="5">
        <v>1.62662805006</v>
      </c>
      <c r="AS106" s="5">
        <v>250908.490120415</v>
      </c>
      <c r="AT106">
        <f t="shared" si="17"/>
        <v>-2.205902749341897E-09</v>
      </c>
      <c r="BP106" s="5">
        <v>2.863E-08</v>
      </c>
      <c r="BQ106" s="5">
        <v>5.92838131397</v>
      </c>
      <c r="BR106" s="5">
        <v>14712.317116458</v>
      </c>
      <c r="BS106">
        <f t="shared" si="19"/>
        <v>-9.384503715595382E-09</v>
      </c>
      <c r="BU106" s="5">
        <v>1.87E-09</v>
      </c>
      <c r="BV106" s="5">
        <v>2.72805985443</v>
      </c>
      <c r="BW106" s="5">
        <v>6062.6632075526</v>
      </c>
      <c r="BX106">
        <f t="shared" si="20"/>
        <v>-3.8351360859117173E-10</v>
      </c>
      <c r="BZ106" s="5">
        <v>2.1E-10</v>
      </c>
      <c r="CA106" s="5">
        <v>4.303630874</v>
      </c>
      <c r="CB106" s="5">
        <v>16858.4825329332</v>
      </c>
      <c r="CC106">
        <f t="shared" si="21"/>
        <v>-1.4117251823747071E-10</v>
      </c>
    </row>
    <row r="107" spans="13:81" ht="12.75">
      <c r="M107" s="5">
        <v>8.62E-08</v>
      </c>
      <c r="N107" s="5">
        <v>4.16538210888</v>
      </c>
      <c r="O107" s="5">
        <v>7058.5984613154</v>
      </c>
      <c r="P107">
        <f t="shared" si="14"/>
        <v>-8.322398749033967E-08</v>
      </c>
      <c r="R107" s="5">
        <v>6.85E-09</v>
      </c>
      <c r="S107" s="5">
        <v>0.38876148682</v>
      </c>
      <c r="T107" s="5">
        <v>15.252471185</v>
      </c>
      <c r="U107">
        <f t="shared" si="15"/>
        <v>5.744527108528167E-09</v>
      </c>
      <c r="W107" s="5">
        <v>3.7E-10</v>
      </c>
      <c r="X107" s="5">
        <v>3.12495025087</v>
      </c>
      <c r="Y107" s="5">
        <v>16200.7727245012</v>
      </c>
      <c r="Z107">
        <f t="shared" si="16"/>
        <v>1.9891787799486367E-10</v>
      </c>
      <c r="AQ107" s="5">
        <v>2.16E-09</v>
      </c>
      <c r="AR107" s="5">
        <v>3.68721275185</v>
      </c>
      <c r="AS107" s="5">
        <v>5849.3641121146</v>
      </c>
      <c r="AT107">
        <f t="shared" si="17"/>
        <v>2.145167239852606E-09</v>
      </c>
      <c r="BP107" s="5">
        <v>3.071E-08</v>
      </c>
      <c r="BQ107" s="5">
        <v>0.23793217002</v>
      </c>
      <c r="BR107" s="5">
        <v>35371.8872659764</v>
      </c>
      <c r="BS107">
        <f t="shared" si="19"/>
        <v>1.519226331027908E-08</v>
      </c>
      <c r="BU107" s="5">
        <v>1.84E-09</v>
      </c>
      <c r="BV107" s="5">
        <v>6.04216273598</v>
      </c>
      <c r="BW107" s="5">
        <v>6283.0085396886</v>
      </c>
      <c r="BX107">
        <f t="shared" si="20"/>
        <v>1.043841843453336E-10</v>
      </c>
      <c r="BZ107" s="5">
        <v>2.1E-10</v>
      </c>
      <c r="CA107" s="5">
        <v>0.49258939822</v>
      </c>
      <c r="CB107" s="5">
        <v>29088.811415985</v>
      </c>
      <c r="CC107">
        <f t="shared" si="21"/>
        <v>1.8928334183763354E-10</v>
      </c>
    </row>
    <row r="108" spans="13:81" ht="12.75">
      <c r="M108" s="5">
        <v>6.297E-08</v>
      </c>
      <c r="N108" s="5">
        <v>4.71724819317</v>
      </c>
      <c r="O108" s="5">
        <v>6836.6452528338</v>
      </c>
      <c r="P108">
        <f t="shared" si="14"/>
        <v>4.7982645262665615E-08</v>
      </c>
      <c r="R108" s="5">
        <v>6.01E-09</v>
      </c>
      <c r="S108" s="5">
        <v>0.73489602442</v>
      </c>
      <c r="T108" s="5">
        <v>419.4846438752</v>
      </c>
      <c r="U108">
        <f t="shared" si="15"/>
        <v>5.542211190892671E-09</v>
      </c>
      <c r="W108" s="5">
        <v>3.5E-10</v>
      </c>
      <c r="X108" s="5">
        <v>5.76973458495</v>
      </c>
      <c r="Y108" s="5">
        <v>12569.6748183318</v>
      </c>
      <c r="Z108">
        <f t="shared" si="16"/>
        <v>-3.4825104675049886E-10</v>
      </c>
      <c r="AQ108" s="5">
        <v>2.3E-09</v>
      </c>
      <c r="AR108" s="5">
        <v>0.36165162947</v>
      </c>
      <c r="AS108" s="5">
        <v>5863.5912061162</v>
      </c>
      <c r="AT108">
        <f t="shared" si="17"/>
        <v>-2.286600660287897E-09</v>
      </c>
      <c r="BP108" s="5">
        <v>2.656E-08</v>
      </c>
      <c r="BQ108" s="5">
        <v>0.8995930178</v>
      </c>
      <c r="BR108" s="5">
        <v>12352.8526045448</v>
      </c>
      <c r="BS108">
        <f t="shared" si="19"/>
        <v>-5.830458387955158E-09</v>
      </c>
      <c r="BU108" s="5">
        <v>2.3E-09</v>
      </c>
      <c r="BV108" s="5">
        <v>3.62591335086</v>
      </c>
      <c r="BW108" s="5">
        <v>6284.0561710596</v>
      </c>
      <c r="BX108">
        <f t="shared" si="20"/>
        <v>1.4488099740961334E-09</v>
      </c>
      <c r="BZ108" s="5">
        <v>2.5E-10</v>
      </c>
      <c r="CA108" s="5">
        <v>1.33030250444</v>
      </c>
      <c r="CB108" s="5">
        <v>6282.0955289232</v>
      </c>
      <c r="CC108">
        <f t="shared" si="21"/>
        <v>-2.4943163335983095E-10</v>
      </c>
    </row>
    <row r="109" spans="13:81" ht="12.75">
      <c r="M109" s="5">
        <v>7.575E-08</v>
      </c>
      <c r="N109" s="5">
        <v>3.97382858911</v>
      </c>
      <c r="O109" s="5">
        <v>11499.6562227928</v>
      </c>
      <c r="P109">
        <f t="shared" si="14"/>
        <v>5.925347212829329E-08</v>
      </c>
      <c r="R109" s="5">
        <v>7.16E-09</v>
      </c>
      <c r="S109" s="5">
        <v>2.65279791438</v>
      </c>
      <c r="T109" s="5">
        <v>6309.3741697912</v>
      </c>
      <c r="U109">
        <f t="shared" si="15"/>
        <v>1.3766473014924527E-10</v>
      </c>
      <c r="W109" s="5">
        <v>3.7E-10</v>
      </c>
      <c r="X109" s="5">
        <v>0.31656444326</v>
      </c>
      <c r="Y109" s="5">
        <v>24356.7807886416</v>
      </c>
      <c r="Z109">
        <f t="shared" si="16"/>
        <v>-2.1264716192230348E-10</v>
      </c>
      <c r="AQ109" s="5">
        <v>2.33E-09</v>
      </c>
      <c r="AR109" s="5">
        <v>5.03509933858</v>
      </c>
      <c r="AS109" s="5">
        <v>20426.571092422</v>
      </c>
      <c r="AT109">
        <f t="shared" si="17"/>
        <v>-4.0135050765027173E-10</v>
      </c>
      <c r="BP109" s="5">
        <v>2.415E-08</v>
      </c>
      <c r="BQ109" s="5">
        <v>2.79975176257</v>
      </c>
      <c r="BR109" s="5">
        <v>709.9330485583</v>
      </c>
      <c r="BS109">
        <f t="shared" si="19"/>
        <v>1.2039917752810632E-08</v>
      </c>
      <c r="BU109" s="5">
        <v>1.63E-09</v>
      </c>
      <c r="BV109" s="5">
        <v>2.19117396803</v>
      </c>
      <c r="BW109" s="5">
        <v>18073.7049386502</v>
      </c>
      <c r="BX109">
        <f t="shared" si="20"/>
        <v>-7.722057334506791E-10</v>
      </c>
      <c r="BZ109" s="5">
        <v>2.7E-10</v>
      </c>
      <c r="CA109" s="5">
        <v>2.54785812264</v>
      </c>
      <c r="CB109" s="5">
        <v>3496.032826134</v>
      </c>
      <c r="CC109">
        <f t="shared" si="21"/>
        <v>2.0258031130800268E-11</v>
      </c>
    </row>
    <row r="110" spans="13:81" ht="12.75">
      <c r="M110" s="5">
        <v>7.756E-08</v>
      </c>
      <c r="N110" s="5">
        <v>2.95729056763</v>
      </c>
      <c r="O110" s="5">
        <v>23013.5395395872</v>
      </c>
      <c r="P110">
        <f t="shared" si="14"/>
        <v>-7.340182322070812E-08</v>
      </c>
      <c r="R110" s="5">
        <v>5.84E-09</v>
      </c>
      <c r="S110" s="5">
        <v>5.54502568227</v>
      </c>
      <c r="T110" s="5">
        <v>17298.1823273262</v>
      </c>
      <c r="U110">
        <f t="shared" si="15"/>
        <v>-2.164360500721407E-09</v>
      </c>
      <c r="W110" s="5">
        <v>3.5E-10</v>
      </c>
      <c r="X110" s="5">
        <v>0.96229051027</v>
      </c>
      <c r="Y110" s="5">
        <v>17298.1823273262</v>
      </c>
      <c r="Z110">
        <f t="shared" si="16"/>
        <v>3.3911834782182464E-10</v>
      </c>
      <c r="AQ110" s="5">
        <v>2E-09</v>
      </c>
      <c r="AR110" s="5">
        <v>5.86073159059</v>
      </c>
      <c r="AS110" s="5">
        <v>4535.0594369244</v>
      </c>
      <c r="AT110">
        <f t="shared" si="17"/>
        <v>5.694421585915653E-10</v>
      </c>
      <c r="BP110" s="5">
        <v>2.814E-08</v>
      </c>
      <c r="BQ110" s="5">
        <v>3.51488206882</v>
      </c>
      <c r="BR110" s="5">
        <v>21228.3920235458</v>
      </c>
      <c r="BS110">
        <f t="shared" si="19"/>
        <v>2.6893277888422167E-08</v>
      </c>
      <c r="BU110" s="5">
        <v>1.72E-09</v>
      </c>
      <c r="BV110" s="5">
        <v>0.9761295074</v>
      </c>
      <c r="BW110" s="5">
        <v>3930.2096962196</v>
      </c>
      <c r="BX110">
        <f t="shared" si="20"/>
        <v>8.889238805441093E-10</v>
      </c>
      <c r="BZ110" s="5">
        <v>2.2E-10</v>
      </c>
      <c r="CA110" s="5">
        <v>1.1123252195</v>
      </c>
      <c r="CB110" s="5">
        <v>12721.572099417</v>
      </c>
      <c r="CC110">
        <f t="shared" si="21"/>
        <v>2.1319225190393703E-10</v>
      </c>
    </row>
    <row r="111" spans="13:81" ht="12.75">
      <c r="M111" s="5">
        <v>7.314E-08</v>
      </c>
      <c r="N111" s="5">
        <v>0.60652505806</v>
      </c>
      <c r="O111" s="5">
        <v>11513.8833167944</v>
      </c>
      <c r="P111">
        <f t="shared" si="14"/>
        <v>-5.94606301114662E-08</v>
      </c>
      <c r="R111" s="5">
        <v>6.5E-09</v>
      </c>
      <c r="S111" s="5">
        <v>1.13379656406</v>
      </c>
      <c r="T111" s="5">
        <v>7058.5984613154</v>
      </c>
      <c r="U111">
        <f t="shared" si="15"/>
        <v>6.423546470912419E-09</v>
      </c>
      <c r="W111" s="5">
        <v>3.3E-10</v>
      </c>
      <c r="X111" s="5">
        <v>5.23130355867</v>
      </c>
      <c r="Y111" s="5">
        <v>5331.3574437408</v>
      </c>
      <c r="Z111">
        <f t="shared" si="16"/>
        <v>-4.2197549927100824E-12</v>
      </c>
      <c r="AQ111" s="5">
        <v>2.77E-09</v>
      </c>
      <c r="AR111" s="5">
        <v>4.65400292395</v>
      </c>
      <c r="AS111" s="5">
        <v>82239.1669577988</v>
      </c>
      <c r="AT111">
        <f t="shared" si="17"/>
        <v>-2.7088793455609858E-09</v>
      </c>
      <c r="BP111" s="5">
        <v>1.977E-08</v>
      </c>
      <c r="BQ111" s="5">
        <v>2.6135829755</v>
      </c>
      <c r="BR111" s="5">
        <v>951.7184062506</v>
      </c>
      <c r="BS111">
        <f t="shared" si="19"/>
        <v>-3.2122684562556374E-09</v>
      </c>
      <c r="BU111" s="5">
        <v>2.15E-09</v>
      </c>
      <c r="BV111" s="5">
        <v>1.04672844028</v>
      </c>
      <c r="BW111" s="5">
        <v>3496.032826134</v>
      </c>
      <c r="BX111">
        <f t="shared" si="20"/>
        <v>2.1499682608850844E-09</v>
      </c>
      <c r="BZ111" s="5">
        <v>2.1E-10</v>
      </c>
      <c r="CA111" s="5">
        <v>5.97759081637</v>
      </c>
      <c r="CB111" s="5">
        <v>7.1135470008</v>
      </c>
      <c r="CC111">
        <f t="shared" si="21"/>
        <v>2.0501869228742024E-10</v>
      </c>
    </row>
    <row r="112" spans="13:81" ht="12.75">
      <c r="M112" s="5">
        <v>5.955E-08</v>
      </c>
      <c r="N112" s="5">
        <v>2.87641047971</v>
      </c>
      <c r="O112" s="5">
        <v>6283.14316029419</v>
      </c>
      <c r="P112">
        <f t="shared" si="14"/>
        <v>-4.715438767222843E-09</v>
      </c>
      <c r="R112" s="5">
        <v>6.88E-09</v>
      </c>
      <c r="S112" s="5">
        <v>2.59683891779</v>
      </c>
      <c r="T112" s="5">
        <v>3496.032826134</v>
      </c>
      <c r="U112">
        <f t="shared" si="15"/>
        <v>1.7968189897673165E-10</v>
      </c>
      <c r="W112" s="5">
        <v>3.5E-10</v>
      </c>
      <c r="X112" s="5">
        <v>0.62517020593</v>
      </c>
      <c r="Y112" s="5">
        <v>25158.6017197654</v>
      </c>
      <c r="Z112">
        <f t="shared" si="16"/>
        <v>-4.1086414234761575E-11</v>
      </c>
      <c r="AQ112" s="5">
        <v>2.09E-09</v>
      </c>
      <c r="AR112" s="5">
        <v>3.72323200804</v>
      </c>
      <c r="AS112" s="5">
        <v>10973.55568635</v>
      </c>
      <c r="AT112">
        <f t="shared" si="17"/>
        <v>2.027680532806009E-09</v>
      </c>
      <c r="BP112" s="5">
        <v>2.548E-08</v>
      </c>
      <c r="BQ112" s="5">
        <v>2.47684686575</v>
      </c>
      <c r="BR112" s="5">
        <v>6208.2942514241</v>
      </c>
      <c r="BS112">
        <f t="shared" si="19"/>
        <v>-2.510033334074613E-08</v>
      </c>
      <c r="BU112" s="5">
        <v>1.69E-09</v>
      </c>
      <c r="BV112" s="5">
        <v>4.75084479006</v>
      </c>
      <c r="BW112" s="5">
        <v>17267.2682016911</v>
      </c>
      <c r="BX112">
        <f t="shared" si="20"/>
        <v>-1.6897460887247975E-09</v>
      </c>
      <c r="BZ112" s="5">
        <v>1.9E-10</v>
      </c>
      <c r="CA112" s="5">
        <v>0.80292033311</v>
      </c>
      <c r="CB112" s="5">
        <v>16062.1845261168</v>
      </c>
      <c r="CC112">
        <f t="shared" si="21"/>
        <v>-1.8861230435693156E-10</v>
      </c>
    </row>
    <row r="113" spans="13:81" ht="12.75">
      <c r="M113" s="5">
        <v>6.534E-08</v>
      </c>
      <c r="N113" s="5">
        <v>5.79072926033</v>
      </c>
      <c r="O113" s="5">
        <v>18073.7049386502</v>
      </c>
      <c r="P113">
        <f t="shared" si="14"/>
        <v>2.3240942032924995E-09</v>
      </c>
      <c r="R113" s="5">
        <v>4.85E-09</v>
      </c>
      <c r="S113" s="5">
        <v>0.44467180946</v>
      </c>
      <c r="T113" s="5">
        <v>12352.8526045448</v>
      </c>
      <c r="U113">
        <f t="shared" si="15"/>
        <v>1.1226768715589366E-09</v>
      </c>
      <c r="W113" s="5">
        <v>3.5E-10</v>
      </c>
      <c r="X113" s="5">
        <v>0.80004512129</v>
      </c>
      <c r="Y113" s="5">
        <v>13916.0191096416</v>
      </c>
      <c r="Z113">
        <f t="shared" si="16"/>
        <v>-1.5769529212058464E-10</v>
      </c>
      <c r="AQ113" s="5">
        <v>1.99E-09</v>
      </c>
      <c r="AR113" s="5">
        <v>5.05186622555</v>
      </c>
      <c r="AS113" s="5">
        <v>5429.8794682394</v>
      </c>
      <c r="AT113">
        <f t="shared" si="17"/>
        <v>-1.719367428550355E-09</v>
      </c>
      <c r="BP113" s="5">
        <v>1.999E-08</v>
      </c>
      <c r="BQ113" s="5">
        <v>0.5609038816</v>
      </c>
      <c r="BR113" s="5">
        <v>7079.3738568078</v>
      </c>
      <c r="BS113">
        <f t="shared" si="19"/>
        <v>1.7810627114132892E-08</v>
      </c>
      <c r="BU113" s="5">
        <v>1.52E-09</v>
      </c>
      <c r="BV113" s="5">
        <v>0.19390712179</v>
      </c>
      <c r="BW113" s="5">
        <v>9779.1086761254</v>
      </c>
      <c r="BX113">
        <f t="shared" si="20"/>
        <v>9.476670139566963E-10</v>
      </c>
      <c r="BZ113" s="5">
        <v>2.3E-10</v>
      </c>
      <c r="CA113" s="5">
        <v>4.12454848769</v>
      </c>
      <c r="CB113" s="5">
        <v>2388.8940204492</v>
      </c>
      <c r="CC113">
        <f t="shared" si="21"/>
        <v>-1.0470887683507679E-10</v>
      </c>
    </row>
    <row r="114" spans="13:81" ht="12.75">
      <c r="M114" s="5">
        <v>7.188E-08</v>
      </c>
      <c r="N114" s="5">
        <v>3.99831508699</v>
      </c>
      <c r="O114" s="5">
        <v>74.7815985673</v>
      </c>
      <c r="P114">
        <f t="shared" si="14"/>
        <v>1.4577480972333546E-08</v>
      </c>
      <c r="R114" s="5">
        <v>5.28E-09</v>
      </c>
      <c r="S114" s="5">
        <v>2.74936967681</v>
      </c>
      <c r="T114" s="5">
        <v>3930.2096962196</v>
      </c>
      <c r="U114">
        <f t="shared" si="15"/>
        <v>3.879217203026626E-09</v>
      </c>
      <c r="W114" s="5">
        <v>3.7E-10</v>
      </c>
      <c r="X114" s="5">
        <v>2.89336088688</v>
      </c>
      <c r="Y114" s="5">
        <v>12721.572099417</v>
      </c>
      <c r="Z114">
        <f t="shared" si="16"/>
        <v>-1.641479320559545E-10</v>
      </c>
      <c r="AQ114" s="5">
        <v>2.56E-09</v>
      </c>
      <c r="AR114" s="5">
        <v>2.4092327977</v>
      </c>
      <c r="AS114" s="5">
        <v>19651.048481098</v>
      </c>
      <c r="AT114">
        <f t="shared" si="17"/>
        <v>6.190173590362276E-10</v>
      </c>
      <c r="BP114" s="5">
        <v>2.305E-08</v>
      </c>
      <c r="BQ114" s="5">
        <v>1.05376461628</v>
      </c>
      <c r="BR114" s="5">
        <v>22483.8485744925</v>
      </c>
      <c r="BS114">
        <f t="shared" si="19"/>
        <v>1.7808167592196848E-08</v>
      </c>
      <c r="BU114" s="5">
        <v>1.82E-09</v>
      </c>
      <c r="BV114" s="5">
        <v>5.16288118255</v>
      </c>
      <c r="BW114" s="5">
        <v>17253.0411076895</v>
      </c>
      <c r="BX114">
        <f t="shared" si="20"/>
        <v>-1.7612999213693404E-09</v>
      </c>
      <c r="BZ114" s="5">
        <v>2.2E-10</v>
      </c>
      <c r="CA114" s="5">
        <v>4.92663152168</v>
      </c>
      <c r="CB114" s="5">
        <v>18875.525869774</v>
      </c>
      <c r="CC114">
        <f t="shared" si="21"/>
        <v>-1.0127022365365019E-10</v>
      </c>
    </row>
    <row r="115" spans="13:81" ht="12.75">
      <c r="M115" s="5">
        <v>7.346E-08</v>
      </c>
      <c r="N115" s="5">
        <v>4.38582365437</v>
      </c>
      <c r="O115" s="5">
        <v>316.3918696566</v>
      </c>
      <c r="P115">
        <f t="shared" si="14"/>
        <v>-2.975475553382164E-08</v>
      </c>
      <c r="R115" s="5">
        <v>5.97E-09</v>
      </c>
      <c r="S115" s="5">
        <v>5.27668281777</v>
      </c>
      <c r="T115" s="5">
        <v>10575.4066829418</v>
      </c>
      <c r="U115">
        <f t="shared" si="15"/>
        <v>-5.962322709833355E-09</v>
      </c>
      <c r="W115" s="5">
        <v>3E-10</v>
      </c>
      <c r="X115" s="5">
        <v>4.50198402401</v>
      </c>
      <c r="Y115" s="5">
        <v>23543.2305046817</v>
      </c>
      <c r="Z115">
        <f t="shared" si="16"/>
        <v>-4.00173389407822E-11</v>
      </c>
      <c r="AQ115" s="5">
        <v>2.1E-09</v>
      </c>
      <c r="AR115" s="5">
        <v>4.50691909144</v>
      </c>
      <c r="AS115" s="5">
        <v>29088.811415985</v>
      </c>
      <c r="AT115">
        <f t="shared" si="17"/>
        <v>-1.9133409974088892E-09</v>
      </c>
      <c r="BP115" s="5">
        <v>1.855E-08</v>
      </c>
      <c r="BQ115" s="5">
        <v>2.86090681163</v>
      </c>
      <c r="BR115" s="5">
        <v>5216.5803728014</v>
      </c>
      <c r="BS115">
        <f t="shared" si="19"/>
        <v>-1.0860192712639978E-08</v>
      </c>
      <c r="BU115" s="5">
        <v>1.49E-09</v>
      </c>
      <c r="BV115" s="5">
        <v>0.8094418426</v>
      </c>
      <c r="BW115" s="5">
        <v>709.9330485583</v>
      </c>
      <c r="BX115">
        <f t="shared" si="20"/>
        <v>-1.4821936254479712E-09</v>
      </c>
      <c r="BZ115" s="5">
        <v>2.3E-10</v>
      </c>
      <c r="CA115" s="5">
        <v>5.68902059771</v>
      </c>
      <c r="CB115" s="5">
        <v>16460.3335295249</v>
      </c>
      <c r="CC115">
        <f t="shared" si="21"/>
        <v>2.049151193674615E-10</v>
      </c>
    </row>
    <row r="116" spans="13:81" ht="12.75">
      <c r="M116" s="5">
        <v>5.413E-08</v>
      </c>
      <c r="N116" s="5">
        <v>5.39199024641</v>
      </c>
      <c r="O116" s="5">
        <v>419.4846438752</v>
      </c>
      <c r="P116">
        <f t="shared" si="14"/>
        <v>-2.3664047532023907E-08</v>
      </c>
      <c r="R116" s="5">
        <v>5.83E-09</v>
      </c>
      <c r="S116" s="5">
        <v>3.1892906781</v>
      </c>
      <c r="T116" s="5">
        <v>4732.0306273434</v>
      </c>
      <c r="U116">
        <f t="shared" si="15"/>
        <v>2.0992831978207868E-10</v>
      </c>
      <c r="W116" s="5">
        <v>3E-10</v>
      </c>
      <c r="X116" s="5">
        <v>5.31355708693</v>
      </c>
      <c r="Y116" s="5">
        <v>18319.5365848796</v>
      </c>
      <c r="Z116">
        <f t="shared" si="16"/>
        <v>-1.7810047349319558E-10</v>
      </c>
      <c r="AQ116" s="5">
        <v>1.81E-09</v>
      </c>
      <c r="AR116" s="5">
        <v>6.00294783127</v>
      </c>
      <c r="AS116" s="5">
        <v>4292.3308329504</v>
      </c>
      <c r="AT116">
        <f t="shared" si="17"/>
        <v>-1.0098644299892396E-09</v>
      </c>
      <c r="BP116" s="5">
        <v>2.157E-08</v>
      </c>
      <c r="BQ116" s="5">
        <v>1.31396741861</v>
      </c>
      <c r="BR116" s="5">
        <v>154717.609887682</v>
      </c>
      <c r="BS116">
        <f t="shared" si="19"/>
        <v>-1.8590507168328948E-08</v>
      </c>
      <c r="BU116" s="5">
        <v>1.63E-09</v>
      </c>
      <c r="BV116" s="5">
        <v>2.1920957039</v>
      </c>
      <c r="BW116" s="5">
        <v>6076.8903015542</v>
      </c>
      <c r="BX116">
        <f t="shared" si="20"/>
        <v>2.511677034947859E-10</v>
      </c>
      <c r="BZ116" s="5">
        <v>2.3E-10</v>
      </c>
      <c r="CA116" s="5">
        <v>4.97346265647</v>
      </c>
      <c r="CB116" s="5">
        <v>17260.1546546904</v>
      </c>
      <c r="CC116">
        <f t="shared" si="21"/>
        <v>-2.2732719385142717E-10</v>
      </c>
    </row>
    <row r="117" spans="13:81" ht="12.75">
      <c r="M117" s="5">
        <v>5.127E-08</v>
      </c>
      <c r="N117" s="5">
        <v>2.36062848786</v>
      </c>
      <c r="O117" s="5">
        <v>10973.55568635</v>
      </c>
      <c r="P117">
        <f t="shared" si="14"/>
        <v>2.243946059175616E-08</v>
      </c>
      <c r="R117" s="5">
        <v>5.26E-09</v>
      </c>
      <c r="S117" s="5">
        <v>5.01697321546</v>
      </c>
      <c r="T117" s="5">
        <v>5884.9268465832</v>
      </c>
      <c r="U117">
        <f t="shared" si="15"/>
        <v>-1.6192402253604383E-09</v>
      </c>
      <c r="W117" s="5">
        <v>2.9E-10</v>
      </c>
      <c r="X117" s="5">
        <v>3.47275229977</v>
      </c>
      <c r="Y117" s="5">
        <v>13119.7211028251</v>
      </c>
      <c r="Z117">
        <f t="shared" si="16"/>
        <v>1.0079992451471949E-10</v>
      </c>
      <c r="AQ117" s="5">
        <v>2.49E-09</v>
      </c>
      <c r="AR117" s="5">
        <v>0.12900984422</v>
      </c>
      <c r="AS117" s="5">
        <v>154379.795624486</v>
      </c>
      <c r="AT117">
        <f t="shared" si="17"/>
        <v>-2.2122697401569975E-10</v>
      </c>
      <c r="BP117" s="5">
        <v>1.97E-08</v>
      </c>
      <c r="BQ117" s="5">
        <v>4.36929875289</v>
      </c>
      <c r="BR117" s="5">
        <v>167283.761587665</v>
      </c>
      <c r="BS117">
        <f t="shared" si="19"/>
        <v>-1.3500589808426768E-08</v>
      </c>
      <c r="BU117" s="5">
        <v>1.86E-09</v>
      </c>
      <c r="BV117" s="5">
        <v>5.01159497089</v>
      </c>
      <c r="BW117" s="5">
        <v>11015.1064773348</v>
      </c>
      <c r="BX117">
        <f t="shared" si="20"/>
        <v>-8.466973859658042E-10</v>
      </c>
      <c r="BZ117" s="5">
        <v>2.3E-10</v>
      </c>
      <c r="CA117" s="5">
        <v>3.03021283729</v>
      </c>
      <c r="CB117" s="5">
        <v>66567.4858652542</v>
      </c>
      <c r="CC117">
        <f t="shared" si="21"/>
        <v>-2.0168981221306102E-10</v>
      </c>
    </row>
    <row r="118" spans="13:81" ht="12.75">
      <c r="M118" s="5">
        <v>7.056E-08</v>
      </c>
      <c r="N118" s="5">
        <v>0.32258441903</v>
      </c>
      <c r="O118" s="5">
        <v>263.0839233728</v>
      </c>
      <c r="P118">
        <f t="shared" si="14"/>
        <v>-6.466763995332377E-08</v>
      </c>
      <c r="R118" s="5">
        <v>5.4E-09</v>
      </c>
      <c r="S118" s="5">
        <v>1.29175137075</v>
      </c>
      <c r="T118" s="5">
        <v>640.8776073822</v>
      </c>
      <c r="U118">
        <f t="shared" si="15"/>
        <v>-5.21395247070364E-09</v>
      </c>
      <c r="W118" s="5">
        <v>2.9E-10</v>
      </c>
      <c r="X118" s="5">
        <v>3.11002782516</v>
      </c>
      <c r="Y118" s="5">
        <v>4136.9104335162</v>
      </c>
      <c r="Z118">
        <f t="shared" si="16"/>
        <v>-2.5410106263841545E-10</v>
      </c>
      <c r="AQ118" s="5">
        <v>2.09E-09</v>
      </c>
      <c r="AR118" s="5">
        <v>3.87759458598</v>
      </c>
      <c r="AS118" s="5">
        <v>17789.845619785</v>
      </c>
      <c r="AT118">
        <f t="shared" si="17"/>
        <v>-1.568484689976739E-09</v>
      </c>
      <c r="BP118" s="5">
        <v>1.635E-08</v>
      </c>
      <c r="BQ118" s="5">
        <v>5.85571606764</v>
      </c>
      <c r="BR118" s="5">
        <v>10984.1923516998</v>
      </c>
      <c r="BS118">
        <f t="shared" si="19"/>
        <v>-1.3175728308033185E-08</v>
      </c>
      <c r="BU118" s="5">
        <v>1.34E-09</v>
      </c>
      <c r="BV118" s="5">
        <v>0.97765485759</v>
      </c>
      <c r="BW118" s="5">
        <v>65147.6197681377</v>
      </c>
      <c r="BX118">
        <f t="shared" si="20"/>
        <v>-1.3274270279643497E-09</v>
      </c>
      <c r="BZ118" s="5">
        <v>1.6E-10</v>
      </c>
      <c r="CA118" s="5">
        <v>3.89740925257</v>
      </c>
      <c r="CB118" s="5">
        <v>5331.3574437408</v>
      </c>
      <c r="CC118">
        <f t="shared" si="21"/>
        <v>1.5503827081033253E-10</v>
      </c>
    </row>
    <row r="119" spans="13:81" ht="12.75">
      <c r="M119" s="5">
        <v>6.625E-08</v>
      </c>
      <c r="N119" s="5">
        <v>3.66475158672</v>
      </c>
      <c r="O119" s="5">
        <v>17298.1823273262</v>
      </c>
      <c r="P119">
        <f t="shared" si="14"/>
        <v>-5.113116474700774E-08</v>
      </c>
      <c r="R119" s="5">
        <v>4.73E-09</v>
      </c>
      <c r="S119" s="5">
        <v>5.4995330697</v>
      </c>
      <c r="T119" s="5">
        <v>5230.807466803</v>
      </c>
      <c r="U119">
        <f t="shared" si="15"/>
        <v>3.85761914459594E-09</v>
      </c>
      <c r="W119" s="5">
        <v>3.2E-10</v>
      </c>
      <c r="X119" s="5">
        <v>5.52273255667</v>
      </c>
      <c r="Y119" s="5">
        <v>5753.3848848968</v>
      </c>
      <c r="Z119">
        <f t="shared" si="16"/>
        <v>2.2879694195834704E-10</v>
      </c>
      <c r="AQ119" s="5">
        <v>2.25E-09</v>
      </c>
      <c r="AR119" s="5">
        <v>3.18339652605</v>
      </c>
      <c r="AS119" s="5">
        <v>18875.525869774</v>
      </c>
      <c r="AT119">
        <f t="shared" si="17"/>
        <v>-1.7901076463572252E-09</v>
      </c>
      <c r="BP119" s="5">
        <v>1.754E-08</v>
      </c>
      <c r="BQ119" s="5">
        <v>2.14452408833</v>
      </c>
      <c r="BR119" s="5">
        <v>6290.1893969922</v>
      </c>
      <c r="BS119">
        <f t="shared" si="19"/>
        <v>-1.1626516683302256E-08</v>
      </c>
      <c r="BU119" s="5">
        <v>1.41E-09</v>
      </c>
      <c r="BV119" s="5">
        <v>4.38421981312</v>
      </c>
      <c r="BW119" s="5">
        <v>4136.9104335162</v>
      </c>
      <c r="BX119">
        <f t="shared" si="20"/>
        <v>2.8875502295603594E-10</v>
      </c>
      <c r="BZ119" s="5">
        <v>1.7E-10</v>
      </c>
      <c r="CA119" s="5">
        <v>3.08268671348</v>
      </c>
      <c r="CB119" s="5">
        <v>154717.609887682</v>
      </c>
      <c r="CC119">
        <f t="shared" si="21"/>
        <v>1.133394969242686E-10</v>
      </c>
    </row>
    <row r="120" spans="13:81" ht="12.75">
      <c r="M120" s="5">
        <v>6.762E-08</v>
      </c>
      <c r="N120" s="5">
        <v>5.91132535899</v>
      </c>
      <c r="O120" s="5">
        <v>90955.5516944961</v>
      </c>
      <c r="P120">
        <f t="shared" si="14"/>
        <v>-2.02247073779138E-08</v>
      </c>
      <c r="R120" s="5">
        <v>4.06E-09</v>
      </c>
      <c r="S120" s="5">
        <v>5.2124845218899996</v>
      </c>
      <c r="T120" s="5">
        <v>220.4126424388</v>
      </c>
      <c r="U120">
        <f t="shared" si="15"/>
        <v>-2.6411025651616305E-10</v>
      </c>
      <c r="W120" s="5">
        <v>3.5E-10</v>
      </c>
      <c r="X120" s="5">
        <v>3.7969999668</v>
      </c>
      <c r="Y120" s="5">
        <v>143571.324284816</v>
      </c>
      <c r="Z120">
        <f t="shared" si="16"/>
        <v>1.1677102802058276E-10</v>
      </c>
      <c r="AQ120" s="5">
        <v>1.91E-09</v>
      </c>
      <c r="AR120" s="5">
        <v>4.53897489299</v>
      </c>
      <c r="AS120" s="5">
        <v>18477.1087646123</v>
      </c>
      <c r="AT120">
        <f t="shared" si="17"/>
        <v>9.568916188247953E-10</v>
      </c>
      <c r="BP120" s="5">
        <v>2.154E-08</v>
      </c>
      <c r="BQ120" s="5">
        <v>6.03828341543</v>
      </c>
      <c r="BR120" s="5">
        <v>10873.9860304804</v>
      </c>
      <c r="BS120">
        <f t="shared" si="19"/>
        <v>4.986360446491816E-09</v>
      </c>
      <c r="BU120" s="5">
        <v>1.58E-09</v>
      </c>
      <c r="BV120" s="5">
        <v>4.60974280627</v>
      </c>
      <c r="BW120" s="5">
        <v>9623.6882766912</v>
      </c>
      <c r="BX120">
        <f t="shared" si="20"/>
        <v>-1.52552234513538E-09</v>
      </c>
      <c r="BZ120" s="5">
        <v>1.6E-10</v>
      </c>
      <c r="CA120" s="5">
        <v>3.95085099736</v>
      </c>
      <c r="CB120" s="5">
        <v>3097.88382272579</v>
      </c>
      <c r="CC120">
        <f t="shared" si="21"/>
        <v>-6.519109141466573E-11</v>
      </c>
    </row>
    <row r="121" spans="13:81" ht="12.75">
      <c r="M121" s="5">
        <v>4.938E-08</v>
      </c>
      <c r="N121" s="5">
        <v>5.73672165674</v>
      </c>
      <c r="O121" s="5">
        <v>9917.6968745098</v>
      </c>
      <c r="P121">
        <f t="shared" si="14"/>
        <v>-1.4038908627548904E-08</v>
      </c>
      <c r="R121" s="5">
        <v>3.95E-09</v>
      </c>
      <c r="S121" s="5">
        <v>1.87474483222</v>
      </c>
      <c r="T121" s="5">
        <v>16200.7727245012</v>
      </c>
      <c r="U121">
        <f t="shared" si="15"/>
        <v>3.830102977312053E-09</v>
      </c>
      <c r="W121" s="5">
        <v>2.6E-10</v>
      </c>
      <c r="X121" s="5">
        <v>1.50634201907</v>
      </c>
      <c r="Y121" s="5">
        <v>154717.609887682</v>
      </c>
      <c r="Z121">
        <f t="shared" si="16"/>
        <v>-1.9474290783523908E-10</v>
      </c>
      <c r="AQ121" s="5">
        <v>1.72E-09</v>
      </c>
      <c r="AR121" s="5">
        <v>2.09694183014</v>
      </c>
      <c r="AS121" s="5">
        <v>13095.8426650774</v>
      </c>
      <c r="AT121">
        <f t="shared" si="17"/>
        <v>1.546345347101792E-09</v>
      </c>
      <c r="BP121" s="5">
        <v>1.714E-08</v>
      </c>
      <c r="BQ121" s="5">
        <v>3.70157691113</v>
      </c>
      <c r="BR121" s="5">
        <v>1592.5960136328</v>
      </c>
      <c r="BS121">
        <f t="shared" si="19"/>
        <v>-5.127597873913578E-09</v>
      </c>
      <c r="BU121" s="5">
        <v>1.33E-09</v>
      </c>
      <c r="BV121" s="5">
        <v>3.30508592837</v>
      </c>
      <c r="BW121" s="5">
        <v>154717.609887682</v>
      </c>
      <c r="BX121">
        <f t="shared" si="20"/>
        <v>1.0835231223195975E-09</v>
      </c>
      <c r="BZ121" s="5">
        <v>1.6E-10</v>
      </c>
      <c r="CA121" s="5">
        <v>3.99041783945</v>
      </c>
      <c r="CB121" s="5">
        <v>6283.14316029419</v>
      </c>
      <c r="CC121">
        <f t="shared" si="21"/>
        <v>1.3755672183571694E-10</v>
      </c>
    </row>
    <row r="122" spans="13:81" ht="12.75">
      <c r="M122" s="5">
        <v>5.547E-08</v>
      </c>
      <c r="N122" s="5">
        <v>2.45152597661</v>
      </c>
      <c r="O122" s="5">
        <v>12352.8526045448</v>
      </c>
      <c r="P122">
        <f t="shared" si="14"/>
        <v>-5.433702617317067E-08</v>
      </c>
      <c r="R122" s="5">
        <v>3.7E-09</v>
      </c>
      <c r="S122" s="5">
        <v>3.84921354713</v>
      </c>
      <c r="T122" s="5">
        <v>18073.7049386502</v>
      </c>
      <c r="U122">
        <f t="shared" si="15"/>
        <v>3.39878642261234E-09</v>
      </c>
      <c r="W122" s="5">
        <v>3E-10</v>
      </c>
      <c r="X122" s="5">
        <v>3.53519084118</v>
      </c>
      <c r="Y122" s="5">
        <v>6284.0561710596</v>
      </c>
      <c r="Z122">
        <f t="shared" si="16"/>
        <v>1.6708882292284063E-10</v>
      </c>
      <c r="AQ122" s="5">
        <v>1.82E-09</v>
      </c>
      <c r="AR122" s="5">
        <v>3.161079435</v>
      </c>
      <c r="AS122" s="5">
        <v>16730.4636895958</v>
      </c>
      <c r="AT122">
        <f t="shared" si="17"/>
        <v>5.556089508367742E-10</v>
      </c>
      <c r="BP122" s="5">
        <v>1.541E-08</v>
      </c>
      <c r="BQ122" s="5">
        <v>6.21598380732</v>
      </c>
      <c r="BR122" s="5">
        <v>23543.2305046817</v>
      </c>
      <c r="BS122">
        <f t="shared" si="19"/>
        <v>1.5409317227098064E-08</v>
      </c>
      <c r="BU122" s="5">
        <v>1.63E-09</v>
      </c>
      <c r="BV122" s="5">
        <v>6.11782626245</v>
      </c>
      <c r="BW122" s="5">
        <v>3.523118349</v>
      </c>
      <c r="BX122">
        <f t="shared" si="20"/>
        <v>1.6178654664397967E-09</v>
      </c>
      <c r="BZ122" s="5">
        <v>2E-10</v>
      </c>
      <c r="CA122" s="5">
        <v>6.10644140189</v>
      </c>
      <c r="CB122" s="5">
        <v>167283.761587665</v>
      </c>
      <c r="CC122">
        <f t="shared" si="21"/>
        <v>1.6633467371169574E-10</v>
      </c>
    </row>
    <row r="123" spans="13:81" ht="12.75">
      <c r="M123" s="5">
        <v>5.958E-08</v>
      </c>
      <c r="N123" s="5">
        <v>3.32051344676</v>
      </c>
      <c r="O123" s="5">
        <v>6283.0085396886</v>
      </c>
      <c r="P123">
        <f t="shared" si="14"/>
        <v>2.1165842710137446E-08</v>
      </c>
      <c r="R123" s="5">
        <v>3.67E-09</v>
      </c>
      <c r="S123" s="5">
        <v>0.88533542778</v>
      </c>
      <c r="T123" s="5">
        <v>6283.14316029419</v>
      </c>
      <c r="U123">
        <f t="shared" si="15"/>
        <v>-3.2215260576240184E-09</v>
      </c>
      <c r="W123" s="5">
        <v>2.3E-10</v>
      </c>
      <c r="X123" s="5">
        <v>4.41808025967</v>
      </c>
      <c r="Y123" s="5">
        <v>5884.9268465832</v>
      </c>
      <c r="Z123">
        <f t="shared" si="16"/>
        <v>6.488042561118561E-11</v>
      </c>
      <c r="AQ123" s="5">
        <v>1.88E-09</v>
      </c>
      <c r="AR123" s="5">
        <v>2.22746128596</v>
      </c>
      <c r="AS123" s="5">
        <v>41654.9631159678</v>
      </c>
      <c r="AT123">
        <f t="shared" si="17"/>
        <v>1.620994651527766E-10</v>
      </c>
      <c r="BP123" s="5">
        <v>1.611E-08</v>
      </c>
      <c r="BQ123" s="5">
        <v>1.99824499377</v>
      </c>
      <c r="BR123" s="5">
        <v>10969.9652576982</v>
      </c>
      <c r="BS123">
        <f t="shared" si="19"/>
        <v>7.49415935951491E-10</v>
      </c>
      <c r="BU123" s="5">
        <v>1.74E-09</v>
      </c>
      <c r="BV123" s="5">
        <v>1.58078542187</v>
      </c>
      <c r="BW123" s="5">
        <v>7.1135470008</v>
      </c>
      <c r="BX123">
        <f t="shared" si="20"/>
        <v>-1.691061915780828E-10</v>
      </c>
      <c r="BZ123" s="5">
        <v>1.5E-10</v>
      </c>
      <c r="CA123" s="5">
        <v>4.09775914607</v>
      </c>
      <c r="CB123" s="5">
        <v>11712.9553182308</v>
      </c>
      <c r="CC123">
        <f t="shared" si="21"/>
        <v>-1.443983785610477E-10</v>
      </c>
    </row>
    <row r="124" spans="13:81" ht="12.75">
      <c r="M124" s="5">
        <v>4.471E-08</v>
      </c>
      <c r="N124" s="5">
        <v>2.06385999536</v>
      </c>
      <c r="O124" s="5">
        <v>7079.3738568078</v>
      </c>
      <c r="P124">
        <f t="shared" si="14"/>
        <v>2.2954204273385976E-08</v>
      </c>
      <c r="R124" s="5">
        <v>3.79E-09</v>
      </c>
      <c r="S124" s="5">
        <v>0.37983009325</v>
      </c>
      <c r="T124" s="5">
        <v>10177.2576795336</v>
      </c>
      <c r="U124">
        <f t="shared" si="15"/>
        <v>3.6087727798068266E-09</v>
      </c>
      <c r="W124" s="5">
        <v>2.5E-10</v>
      </c>
      <c r="X124" s="5">
        <v>1.38477355808</v>
      </c>
      <c r="Y124" s="5">
        <v>65147.6197681377</v>
      </c>
      <c r="Z124">
        <f t="shared" si="16"/>
        <v>-2.409411461041272E-10</v>
      </c>
      <c r="AQ124" s="5">
        <v>1.64E-09</v>
      </c>
      <c r="AR124" s="5">
        <v>5.18686275017</v>
      </c>
      <c r="AS124" s="5">
        <v>5481.2549188676</v>
      </c>
      <c r="AT124">
        <f t="shared" si="17"/>
        <v>-1.5936770959530783E-09</v>
      </c>
      <c r="BP124" s="5">
        <v>1.712E-08</v>
      </c>
      <c r="BQ124" s="5">
        <v>1.34295663542</v>
      </c>
      <c r="BR124" s="5">
        <v>3128.3887650958</v>
      </c>
      <c r="BS124">
        <f t="shared" si="19"/>
        <v>-8.036491092590031E-09</v>
      </c>
      <c r="BU124" s="5">
        <v>1.41E-09</v>
      </c>
      <c r="BV124" s="5">
        <v>0.49976927274</v>
      </c>
      <c r="BW124" s="5">
        <v>25158.6017197654</v>
      </c>
      <c r="BX124">
        <f t="shared" si="20"/>
        <v>1.091312241437213E-11</v>
      </c>
      <c r="BZ124" s="5">
        <v>1.6E-10</v>
      </c>
      <c r="CA124" s="5">
        <v>5.717699407</v>
      </c>
      <c r="CB124" s="5">
        <v>17298.1823273262</v>
      </c>
      <c r="CC124">
        <f t="shared" si="21"/>
        <v>-3.288266902967769E-11</v>
      </c>
    </row>
    <row r="125" spans="13:81" ht="12.75">
      <c r="M125" s="5">
        <v>6.153E-08</v>
      </c>
      <c r="N125" s="5">
        <v>1.45823331144</v>
      </c>
      <c r="O125" s="5">
        <v>233141.314404361</v>
      </c>
      <c r="P125">
        <f t="shared" si="14"/>
        <v>4.393732337649438E-08</v>
      </c>
      <c r="R125" s="5">
        <v>3.56E-09</v>
      </c>
      <c r="S125" s="5">
        <v>3.84145204913</v>
      </c>
      <c r="T125" s="5">
        <v>11712.9553182308</v>
      </c>
      <c r="U125">
        <f t="shared" si="15"/>
        <v>-3.5594333629820507E-09</v>
      </c>
      <c r="W125" s="5">
        <v>2.3E-10</v>
      </c>
      <c r="X125" s="5">
        <v>3.49782549797</v>
      </c>
      <c r="Y125" s="5">
        <v>7477.522860216</v>
      </c>
      <c r="Z125">
        <f t="shared" si="16"/>
        <v>1.1011146714746965E-10</v>
      </c>
      <c r="AQ125" s="5">
        <v>1.6E-09</v>
      </c>
      <c r="AR125" s="5">
        <v>2.49298855159</v>
      </c>
      <c r="AS125" s="5">
        <v>12592.4500197826</v>
      </c>
      <c r="AT125">
        <f t="shared" si="17"/>
        <v>1.598415573790095E-09</v>
      </c>
      <c r="BP125" s="5">
        <v>1.642E-08</v>
      </c>
      <c r="BQ125" s="5">
        <v>5.55026665339</v>
      </c>
      <c r="BR125" s="5">
        <v>6496.3749454294</v>
      </c>
      <c r="BS125">
        <f t="shared" si="19"/>
        <v>-1.4405053864568992E-08</v>
      </c>
      <c r="BU125" s="5">
        <v>1.24E-09</v>
      </c>
      <c r="BV125" s="5">
        <v>6.03440460031</v>
      </c>
      <c r="BW125" s="5">
        <v>9225.539273283</v>
      </c>
      <c r="BX125">
        <f t="shared" si="20"/>
        <v>1.237803955123761E-09</v>
      </c>
      <c r="BZ125" s="5">
        <v>1.6E-10</v>
      </c>
      <c r="CA125" s="5">
        <v>3.28894009404</v>
      </c>
      <c r="CB125" s="5">
        <v>5884.9268465832</v>
      </c>
      <c r="CC125">
        <f t="shared" si="21"/>
        <v>1.580648749085493E-10</v>
      </c>
    </row>
    <row r="126" spans="13:81" ht="12.75">
      <c r="M126" s="5">
        <v>4.348E-08</v>
      </c>
      <c r="N126" s="5">
        <v>4.4234217548</v>
      </c>
      <c r="O126" s="5">
        <v>5216.5803728014</v>
      </c>
      <c r="P126">
        <f t="shared" si="14"/>
        <v>3.503743129099089E-08</v>
      </c>
      <c r="R126" s="5">
        <v>3.74E-09</v>
      </c>
      <c r="S126" s="5">
        <v>5.01577520608</v>
      </c>
      <c r="T126" s="5">
        <v>7.046236698</v>
      </c>
      <c r="U126">
        <f t="shared" si="15"/>
        <v>1.4215992177214534E-09</v>
      </c>
      <c r="W126" s="5">
        <v>1.9E-10</v>
      </c>
      <c r="X126" s="5">
        <v>3.14329413716</v>
      </c>
      <c r="Y126" s="5">
        <v>6496.3749454294</v>
      </c>
      <c r="Z126">
        <f t="shared" si="16"/>
        <v>6.256665597666465E-11</v>
      </c>
      <c r="AQ126" s="5">
        <v>1.55E-09</v>
      </c>
      <c r="AR126" s="5">
        <v>1.5959543823</v>
      </c>
      <c r="AS126" s="5">
        <v>10021.8372800994</v>
      </c>
      <c r="AT126">
        <f t="shared" si="17"/>
        <v>8.33707398839646E-10</v>
      </c>
      <c r="BP126" s="5">
        <v>1.502E-08</v>
      </c>
      <c r="BQ126" s="5">
        <v>5.43948825854</v>
      </c>
      <c r="BR126" s="5">
        <v>155.4203994342</v>
      </c>
      <c r="BS126">
        <f t="shared" si="19"/>
        <v>7.2796915640972196E-09</v>
      </c>
      <c r="BU126" s="5">
        <v>1.5E-09</v>
      </c>
      <c r="BV126" s="5">
        <v>5.30166336812</v>
      </c>
      <c r="BW126" s="5">
        <v>13517.8701062334</v>
      </c>
      <c r="BX126">
        <f t="shared" si="20"/>
        <v>-1.1967689565130223E-10</v>
      </c>
      <c r="BZ126" s="5">
        <v>1.5E-10</v>
      </c>
      <c r="CA126" s="5">
        <v>5.64785377164</v>
      </c>
      <c r="CB126" s="5">
        <v>12559.038152982</v>
      </c>
      <c r="CC126">
        <f t="shared" si="21"/>
        <v>-1.4077650017524499E-10</v>
      </c>
    </row>
    <row r="127" spans="13:81" ht="12.75">
      <c r="M127" s="5">
        <v>6.123E-08</v>
      </c>
      <c r="N127" s="5">
        <v>1.07494905258</v>
      </c>
      <c r="O127" s="5">
        <v>19804.8272915828</v>
      </c>
      <c r="P127">
        <f t="shared" si="14"/>
        <v>4.3850863541806345E-08</v>
      </c>
      <c r="R127" s="5">
        <v>3.81E-09</v>
      </c>
      <c r="S127" s="5">
        <v>4.30250406634</v>
      </c>
      <c r="T127" s="5">
        <v>6062.6632075526</v>
      </c>
      <c r="U127">
        <f t="shared" si="15"/>
        <v>-3.7261380827462225E-09</v>
      </c>
      <c r="W127" s="5">
        <v>1.9E-10</v>
      </c>
      <c r="X127" s="5">
        <v>2.20135125199</v>
      </c>
      <c r="Y127" s="5">
        <v>18073.7049386502</v>
      </c>
      <c r="Z127">
        <f t="shared" si="16"/>
        <v>-8.830415789990691E-11</v>
      </c>
      <c r="AQ127" s="5">
        <v>1.35E-09</v>
      </c>
      <c r="AR127" s="5">
        <v>0.21349051064</v>
      </c>
      <c r="AS127" s="5">
        <v>10988.808157535</v>
      </c>
      <c r="AT127">
        <f t="shared" si="17"/>
        <v>-1.3472394287647966E-09</v>
      </c>
      <c r="BP127" s="5">
        <v>1.827E-08</v>
      </c>
      <c r="BQ127" s="5">
        <v>5.91227480261</v>
      </c>
      <c r="BR127" s="5">
        <v>3738.761430108</v>
      </c>
      <c r="BS127">
        <f t="shared" si="19"/>
        <v>2.419133210853469E-10</v>
      </c>
      <c r="BU127" s="5">
        <v>1.27E-09</v>
      </c>
      <c r="BV127" s="5">
        <v>1.92389511438</v>
      </c>
      <c r="BW127" s="5">
        <v>22483.8485744925</v>
      </c>
      <c r="BX127">
        <f t="shared" si="20"/>
        <v>1.6227311395296002E-11</v>
      </c>
      <c r="BZ127" s="5">
        <v>1.6E-10</v>
      </c>
      <c r="CA127" s="5">
        <v>4.4345208093</v>
      </c>
      <c r="CB127" s="5">
        <v>6283.0085396886</v>
      </c>
      <c r="CC127">
        <f t="shared" si="21"/>
        <v>1.5929953591385588E-10</v>
      </c>
    </row>
    <row r="128" spans="13:81" ht="12.75">
      <c r="M128" s="5">
        <v>4.488E-08</v>
      </c>
      <c r="N128" s="5">
        <v>3.6528503715</v>
      </c>
      <c r="O128" s="5">
        <v>206.1855484372</v>
      </c>
      <c r="P128">
        <f t="shared" si="14"/>
        <v>4.466270408293101E-08</v>
      </c>
      <c r="R128" s="5">
        <v>4.71E-09</v>
      </c>
      <c r="S128" s="5">
        <v>0.86381834647</v>
      </c>
      <c r="T128" s="5">
        <v>6069.7767545534</v>
      </c>
      <c r="U128">
        <f t="shared" si="15"/>
        <v>4.709999501816862E-09</v>
      </c>
      <c r="W128" s="5">
        <v>1.9E-10</v>
      </c>
      <c r="X128" s="5">
        <v>4.95020255309</v>
      </c>
      <c r="Y128" s="5">
        <v>3930.2096962196</v>
      </c>
      <c r="Z128">
        <f t="shared" si="16"/>
        <v>-1.863921274463623E-10</v>
      </c>
      <c r="AQ128" s="5">
        <v>1.78E-09</v>
      </c>
      <c r="AR128" s="5">
        <v>3.8037517797</v>
      </c>
      <c r="AS128" s="5">
        <v>23581.2581773176</v>
      </c>
      <c r="AT128">
        <f t="shared" si="17"/>
        <v>-6.354608932184457E-10</v>
      </c>
      <c r="BP128" s="5">
        <v>1.726E-08</v>
      </c>
      <c r="BQ128" s="5">
        <v>2.16764983583</v>
      </c>
      <c r="BR128" s="5">
        <v>10575.4066829418</v>
      </c>
      <c r="BS128">
        <f t="shared" si="19"/>
        <v>1.720018133581321E-08</v>
      </c>
      <c r="BU128" s="5">
        <v>1.21E-09</v>
      </c>
      <c r="BV128" s="5">
        <v>2.37813129011</v>
      </c>
      <c r="BW128" s="5">
        <v>167283.761587665</v>
      </c>
      <c r="BX128">
        <f t="shared" si="20"/>
        <v>-4.660613614271439E-10</v>
      </c>
      <c r="BZ128" s="5">
        <v>1.4E-10</v>
      </c>
      <c r="CA128" s="5">
        <v>2.31721603062</v>
      </c>
      <c r="CB128" s="5">
        <v>5481.2549188676</v>
      </c>
      <c r="CC128">
        <f t="shared" si="21"/>
        <v>1.2217137646588288E-10</v>
      </c>
    </row>
    <row r="129" spans="13:81" ht="12.75">
      <c r="M129" s="5">
        <v>4.02E-08</v>
      </c>
      <c r="N129" s="5">
        <v>0.83995823171</v>
      </c>
      <c r="O129" s="5">
        <v>20.3553193988</v>
      </c>
      <c r="P129">
        <f t="shared" si="14"/>
        <v>1.8594945940244113E-08</v>
      </c>
      <c r="R129" s="5">
        <v>3.67E-09</v>
      </c>
      <c r="S129" s="5">
        <v>1.32943839763</v>
      </c>
      <c r="T129" s="5">
        <v>6283.0085396886</v>
      </c>
      <c r="U129">
        <f t="shared" si="15"/>
        <v>-3.6640195339207824E-09</v>
      </c>
      <c r="W129" s="5">
        <v>1.9E-10</v>
      </c>
      <c r="X129" s="5">
        <v>0.57998702747</v>
      </c>
      <c r="Y129" s="5">
        <v>31415.379249957</v>
      </c>
      <c r="Z129">
        <f t="shared" si="16"/>
        <v>-1.895942026006543E-10</v>
      </c>
      <c r="AQ129" s="5">
        <v>1.23E-09</v>
      </c>
      <c r="AR129" s="5">
        <v>1.66800739151</v>
      </c>
      <c r="AS129" s="5">
        <v>15110.4661198662</v>
      </c>
      <c r="AT129">
        <f t="shared" si="17"/>
        <v>3.5738204144660225E-10</v>
      </c>
      <c r="BP129" s="5">
        <v>1.532E-08</v>
      </c>
      <c r="BQ129" s="5">
        <v>5.3568310707</v>
      </c>
      <c r="BR129" s="5">
        <v>13521.7514415914</v>
      </c>
      <c r="BS129">
        <f t="shared" si="19"/>
        <v>-2.7833993334685133E-09</v>
      </c>
      <c r="BU129" s="5">
        <v>1.2E-09</v>
      </c>
      <c r="BV129" s="5">
        <v>3.98423684853</v>
      </c>
      <c r="BW129" s="5">
        <v>4686.8894077068</v>
      </c>
      <c r="BX129">
        <f t="shared" si="20"/>
        <v>3.27753275795619E-10</v>
      </c>
      <c r="BZ129" s="5">
        <v>1.4E-10</v>
      </c>
      <c r="CA129" s="5">
        <v>4.43479032305</v>
      </c>
      <c r="CB129" s="5">
        <v>13517.8701062334</v>
      </c>
      <c r="CC129">
        <f t="shared" si="21"/>
        <v>9.915374775293057E-11</v>
      </c>
    </row>
    <row r="130" spans="13:81" ht="12.75">
      <c r="M130" s="5">
        <v>5.188E-08</v>
      </c>
      <c r="N130" s="5">
        <v>4.06503864016</v>
      </c>
      <c r="O130" s="5">
        <v>6208.2942514241</v>
      </c>
      <c r="P130">
        <f aca="true" t="shared" si="22" ref="P130:P193">M130*COS(N130+O130*$E$16)</f>
        <v>9.81025813678405E-09</v>
      </c>
      <c r="R130" s="5">
        <v>4.6E-09</v>
      </c>
      <c r="S130" s="5">
        <v>5.19667219575</v>
      </c>
      <c r="T130" s="5">
        <v>6284.0561710596</v>
      </c>
      <c r="U130">
        <f aca="true" t="shared" si="23" ref="U130:U193">R130*COS(S130+T130*$E$16)</f>
        <v>3.572754493077262E-09</v>
      </c>
      <c r="W130" s="5">
        <v>2.1E-10</v>
      </c>
      <c r="X130" s="5">
        <v>1.75474323399</v>
      </c>
      <c r="Y130" s="5">
        <v>12139.5535091068</v>
      </c>
      <c r="Z130">
        <f aca="true" t="shared" si="24" ref="Z130:Z142">W130*COS(X130+Y130*$E$16)</f>
        <v>2.0991752999579303E-10</v>
      </c>
      <c r="AQ130" s="5">
        <v>1.22E-09</v>
      </c>
      <c r="AR130" s="5">
        <v>2.72678272244</v>
      </c>
      <c r="AS130" s="5">
        <v>18849.2275499742</v>
      </c>
      <c r="AT130">
        <f aca="true" t="shared" si="25" ref="AT130:AT184">AQ130*COS(AR130+AS130*$E$16)</f>
        <v>-1.707915273659305E-10</v>
      </c>
      <c r="BP130" s="5">
        <v>1.829E-08</v>
      </c>
      <c r="BQ130" s="5">
        <v>1.66006148731</v>
      </c>
      <c r="BR130" s="5">
        <v>39302.096962196</v>
      </c>
      <c r="BS130">
        <f aca="true" t="shared" si="26" ref="BS130:BS193">BP130*COS(BQ130+BR130*$E$16)</f>
        <v>1.6293202228997234E-08</v>
      </c>
      <c r="BU130" s="5">
        <v>1.17E-09</v>
      </c>
      <c r="BV130" s="5">
        <v>5.81072642211</v>
      </c>
      <c r="BW130" s="5">
        <v>12569.6748183318</v>
      </c>
      <c r="BX130">
        <f aca="true" t="shared" si="27" ref="BX130:BX193">BU130*COS(BV130+BW130*$E$16)</f>
        <v>-1.1679628306323301E-09</v>
      </c>
      <c r="BZ130" s="5">
        <v>1.4E-10</v>
      </c>
      <c r="CA130" s="5">
        <v>4.73209312936</v>
      </c>
      <c r="CB130" s="5">
        <v>7342.4577801806</v>
      </c>
      <c r="CC130">
        <f aca="true" t="shared" si="28" ref="CC130:CC139">BZ130*COS(CA130+CB130*$E$16)</f>
        <v>1.1168144875994982E-10</v>
      </c>
    </row>
    <row r="131" spans="13:81" ht="12.75">
      <c r="M131" s="5">
        <v>5.307E-08</v>
      </c>
      <c r="N131" s="5">
        <v>0.38217636096</v>
      </c>
      <c r="O131" s="5">
        <v>31441.6775697568</v>
      </c>
      <c r="P131">
        <f t="shared" si="22"/>
        <v>-5.29752797160964E-08</v>
      </c>
      <c r="R131" s="5">
        <v>3.33E-09</v>
      </c>
      <c r="S131" s="5">
        <v>5.54256205741</v>
      </c>
      <c r="T131" s="5">
        <v>4686.8894077068</v>
      </c>
      <c r="U131">
        <f t="shared" si="23"/>
        <v>3.214479269893718E-09</v>
      </c>
      <c r="W131" s="5">
        <v>1.9E-10</v>
      </c>
      <c r="X131" s="5">
        <v>3.92233070499</v>
      </c>
      <c r="Y131" s="5">
        <v>19651.048481098</v>
      </c>
      <c r="Z131">
        <f t="shared" si="24"/>
        <v>1.8670434314062703E-10</v>
      </c>
      <c r="AQ131" s="5">
        <v>1.26E-09</v>
      </c>
      <c r="AR131" s="5">
        <v>1.1767551291</v>
      </c>
      <c r="AS131" s="5">
        <v>14919.0178537546</v>
      </c>
      <c r="AT131">
        <f t="shared" si="25"/>
        <v>-7.054319712020248E-10</v>
      </c>
      <c r="BP131" s="5">
        <v>1.605E-08</v>
      </c>
      <c r="BQ131" s="5">
        <v>1.90928637633</v>
      </c>
      <c r="BR131" s="5">
        <v>6133.5126528568</v>
      </c>
      <c r="BS131">
        <f t="shared" si="26"/>
        <v>-4.091816320326889E-09</v>
      </c>
      <c r="BU131" s="5">
        <v>1.22E-09</v>
      </c>
      <c r="BV131" s="5">
        <v>5.60973054224</v>
      </c>
      <c r="BW131" s="5">
        <v>5642.1982426092</v>
      </c>
      <c r="BX131">
        <f t="shared" si="27"/>
        <v>1.0682132504119037E-09</v>
      </c>
      <c r="BZ131" s="5">
        <v>1.2E-10</v>
      </c>
      <c r="CA131" s="5">
        <v>0.64705975463</v>
      </c>
      <c r="CB131" s="5">
        <v>18073.7049386502</v>
      </c>
      <c r="CC131">
        <f t="shared" si="28"/>
        <v>-1.0715846183338114E-10</v>
      </c>
    </row>
    <row r="132" spans="13:81" ht="12.75">
      <c r="M132" s="5">
        <v>3.785E-08</v>
      </c>
      <c r="N132" s="5">
        <v>2.34369213733</v>
      </c>
      <c r="O132" s="5">
        <v>3.881335358</v>
      </c>
      <c r="P132">
        <f t="shared" si="22"/>
        <v>-2.7688256878800973E-08</v>
      </c>
      <c r="R132" s="5">
        <v>3.41E-09</v>
      </c>
      <c r="S132" s="5">
        <v>4.36522989934</v>
      </c>
      <c r="T132" s="5">
        <v>7238.6755916</v>
      </c>
      <c r="U132">
        <f t="shared" si="23"/>
        <v>1.8596410477219615E-09</v>
      </c>
      <c r="W132" s="5">
        <v>1.4E-10</v>
      </c>
      <c r="X132" s="5">
        <v>0.98131213224</v>
      </c>
      <c r="Y132" s="5">
        <v>12559.038152982</v>
      </c>
      <c r="Z132">
        <f t="shared" si="24"/>
        <v>-4.2262659781463854E-11</v>
      </c>
      <c r="AQ132" s="5">
        <v>1.42E-09</v>
      </c>
      <c r="AR132" s="5">
        <v>3.95053441332</v>
      </c>
      <c r="AS132" s="5">
        <v>337.8142631964</v>
      </c>
      <c r="AT132">
        <f t="shared" si="25"/>
        <v>-3.441558271420767E-10</v>
      </c>
      <c r="BP132" s="5">
        <v>1.282E-08</v>
      </c>
      <c r="BQ132" s="5">
        <v>2.46014880418</v>
      </c>
      <c r="BR132" s="5">
        <v>13916.0191096416</v>
      </c>
      <c r="BS132">
        <f t="shared" si="26"/>
        <v>-1.0884239903630337E-08</v>
      </c>
      <c r="BU132" s="5">
        <v>1.57E-09</v>
      </c>
      <c r="BV132" s="5">
        <v>3.40236426002</v>
      </c>
      <c r="BW132" s="5">
        <v>16496.3613962024</v>
      </c>
      <c r="BX132">
        <f t="shared" si="27"/>
        <v>3.0874987270071656E-10</v>
      </c>
      <c r="BZ132" s="5">
        <v>1.1E-10</v>
      </c>
      <c r="CA132" s="5">
        <v>1.514433322</v>
      </c>
      <c r="CB132" s="5">
        <v>16200.7727245012</v>
      </c>
      <c r="CC132">
        <f t="shared" si="28"/>
        <v>9.032935837144265E-11</v>
      </c>
    </row>
    <row r="133" spans="13:81" ht="12.75">
      <c r="M133" s="5">
        <v>4.497E-08</v>
      </c>
      <c r="N133" s="5">
        <v>3.27230796845</v>
      </c>
      <c r="O133" s="5">
        <v>11015.1064773348</v>
      </c>
      <c r="P133">
        <f t="shared" si="22"/>
        <v>4.290634466482766E-08</v>
      </c>
      <c r="R133" s="5">
        <v>3.36E-09</v>
      </c>
      <c r="S133" s="5">
        <v>4.00205876835</v>
      </c>
      <c r="T133" s="5">
        <v>3097.88382272579</v>
      </c>
      <c r="U133">
        <f t="shared" si="23"/>
        <v>-1.210158399985708E-09</v>
      </c>
      <c r="W133" s="5">
        <v>1.9E-10</v>
      </c>
      <c r="X133" s="5">
        <v>4.93309333729</v>
      </c>
      <c r="Y133" s="5">
        <v>2942.4634232916</v>
      </c>
      <c r="Z133">
        <f t="shared" si="24"/>
        <v>-1.8521624562636164E-10</v>
      </c>
      <c r="AQ133" s="5">
        <v>1.16E-09</v>
      </c>
      <c r="AR133" s="5">
        <v>6.06340906229</v>
      </c>
      <c r="AS133" s="5">
        <v>6709.6740408674</v>
      </c>
      <c r="AT133">
        <f t="shared" si="25"/>
        <v>1.022736121616261E-09</v>
      </c>
      <c r="BP133" s="5">
        <v>1.211E-08</v>
      </c>
      <c r="BQ133" s="5">
        <v>4.4136063155</v>
      </c>
      <c r="BR133" s="5">
        <v>3894.1818295422</v>
      </c>
      <c r="BS133">
        <f t="shared" si="26"/>
        <v>-4.677922805964669E-09</v>
      </c>
      <c r="BU133" s="5">
        <v>1.29E-09</v>
      </c>
      <c r="BV133" s="5">
        <v>2.10705116371</v>
      </c>
      <c r="BW133" s="5">
        <v>1589.0728952838</v>
      </c>
      <c r="BX133">
        <f t="shared" si="27"/>
        <v>-1.2023267888503973E-09</v>
      </c>
      <c r="BZ133" s="5">
        <v>1.1E-10</v>
      </c>
      <c r="CA133" s="5">
        <v>0.88708889185</v>
      </c>
      <c r="CB133" s="5">
        <v>21228.3920235458</v>
      </c>
      <c r="CC133">
        <f t="shared" si="28"/>
        <v>-7.563890686202478E-11</v>
      </c>
    </row>
    <row r="134" spans="13:81" ht="12.75">
      <c r="M134" s="5">
        <v>4.132E-08</v>
      </c>
      <c r="N134" s="5">
        <v>0.92128915753</v>
      </c>
      <c r="O134" s="5">
        <v>3738.761430108</v>
      </c>
      <c r="P134">
        <f t="shared" si="22"/>
        <v>-3.95728523175481E-08</v>
      </c>
      <c r="R134" s="5">
        <v>3.59E-09</v>
      </c>
      <c r="S134" s="5">
        <v>6.22679790284</v>
      </c>
      <c r="T134" s="5">
        <v>245.8316462294</v>
      </c>
      <c r="U134">
        <f t="shared" si="23"/>
        <v>-3.5324810711895566E-09</v>
      </c>
      <c r="W134" s="5">
        <v>1.6E-10</v>
      </c>
      <c r="X134" s="5">
        <v>5.55997534558</v>
      </c>
      <c r="Y134" s="5">
        <v>8827.3902698748</v>
      </c>
      <c r="Z134">
        <f t="shared" si="24"/>
        <v>1.0437865922936796E-10</v>
      </c>
      <c r="AQ134" s="5">
        <v>1.37E-09</v>
      </c>
      <c r="AR134" s="5">
        <v>3.52143246757</v>
      </c>
      <c r="AS134" s="5">
        <v>12139.5535091068</v>
      </c>
      <c r="AT134">
        <f t="shared" si="25"/>
        <v>-3.0421232890449514E-10</v>
      </c>
      <c r="BP134" s="5">
        <v>1.394E-08</v>
      </c>
      <c r="BQ134" s="5">
        <v>1.77801929354</v>
      </c>
      <c r="BR134" s="5">
        <v>9225.539273283</v>
      </c>
      <c r="BS134">
        <f t="shared" si="26"/>
        <v>-5.383264295712806E-09</v>
      </c>
      <c r="BU134" s="5">
        <v>1.16E-09</v>
      </c>
      <c r="BV134" s="5">
        <v>0.55839966736</v>
      </c>
      <c r="BW134" s="5">
        <v>5849.3641121146</v>
      </c>
      <c r="BX134">
        <f t="shared" si="27"/>
        <v>-1.1502059244290914E-09</v>
      </c>
      <c r="BZ134" s="5">
        <v>1.4E-10</v>
      </c>
      <c r="CA134" s="5">
        <v>4.50116508534</v>
      </c>
      <c r="CB134" s="5">
        <v>640.8776073822</v>
      </c>
      <c r="CC134">
        <f t="shared" si="28"/>
        <v>1.3733475243526485E-10</v>
      </c>
    </row>
    <row r="135" spans="13:81" ht="12.75">
      <c r="M135" s="5">
        <v>3.521E-08</v>
      </c>
      <c r="N135" s="5">
        <v>5.97844807108</v>
      </c>
      <c r="O135" s="5">
        <v>3894.1818295422</v>
      </c>
      <c r="P135">
        <f t="shared" si="22"/>
        <v>-3.2557380063030514E-08</v>
      </c>
      <c r="R135" s="5">
        <v>3.07E-09</v>
      </c>
      <c r="S135" s="5">
        <v>2.35299010924</v>
      </c>
      <c r="T135" s="5">
        <v>170.6728706192</v>
      </c>
      <c r="U135">
        <f t="shared" si="23"/>
        <v>-7.998891877458246E-10</v>
      </c>
      <c r="W135" s="5">
        <v>1.3E-10</v>
      </c>
      <c r="X135" s="5">
        <v>1.68808165516</v>
      </c>
      <c r="Y135" s="5">
        <v>4535.0594369244</v>
      </c>
      <c r="Z135">
        <f t="shared" si="24"/>
        <v>8.788200574160021E-11</v>
      </c>
      <c r="AQ135" s="5">
        <v>1.36E-09</v>
      </c>
      <c r="AR135" s="5">
        <v>2.92179113542</v>
      </c>
      <c r="AS135" s="5">
        <v>32217.2001810808</v>
      </c>
      <c r="AT135">
        <f t="shared" si="25"/>
        <v>-1.2282302116671955E-09</v>
      </c>
      <c r="BP135" s="5">
        <v>1.571E-08</v>
      </c>
      <c r="BQ135" s="5">
        <v>4.95512957592</v>
      </c>
      <c r="BR135" s="5">
        <v>25158.6017197654</v>
      </c>
      <c r="BS135">
        <f t="shared" si="26"/>
        <v>1.516255507436579E-08</v>
      </c>
      <c r="BU135" s="5">
        <v>1.23E-09</v>
      </c>
      <c r="BV135" s="5">
        <v>1.52961392771</v>
      </c>
      <c r="BW135" s="5">
        <v>12559.038152982</v>
      </c>
      <c r="BX135">
        <f t="shared" si="27"/>
        <v>2.9433537041465596E-10</v>
      </c>
      <c r="BZ135" s="5">
        <v>1.1E-10</v>
      </c>
      <c r="CA135" s="5">
        <v>4.64339996198</v>
      </c>
      <c r="CB135" s="5">
        <v>11790.6290886588</v>
      </c>
      <c r="CC135">
        <f t="shared" si="28"/>
        <v>2.215563489572195E-11</v>
      </c>
    </row>
    <row r="136" spans="13:81" ht="12.75">
      <c r="M136" s="5">
        <v>4.215E-08</v>
      </c>
      <c r="N136" s="5">
        <v>1.90601120623</v>
      </c>
      <c r="O136" s="5">
        <v>245.8316462294</v>
      </c>
      <c r="P136">
        <f t="shared" si="22"/>
        <v>8.88360627464403E-09</v>
      </c>
      <c r="R136" s="5">
        <v>3.43E-09</v>
      </c>
      <c r="S136" s="5">
        <v>3.77164927143</v>
      </c>
      <c r="T136" s="5">
        <v>6076.8903015542</v>
      </c>
      <c r="U136">
        <f t="shared" si="23"/>
        <v>-3.3935330119469354E-09</v>
      </c>
      <c r="W136" s="5">
        <v>1.3E-10</v>
      </c>
      <c r="X136" s="5">
        <v>0.33982116161</v>
      </c>
      <c r="Y136" s="5">
        <v>4933.2084403326</v>
      </c>
      <c r="Z136">
        <f t="shared" si="24"/>
        <v>-4.372765214514197E-11</v>
      </c>
      <c r="AQ136" s="5">
        <v>1.1E-09</v>
      </c>
      <c r="AR136" s="5">
        <v>3.51203379263</v>
      </c>
      <c r="AS136" s="5">
        <v>18052.9295431578</v>
      </c>
      <c r="AT136">
        <f t="shared" si="25"/>
        <v>5.956362154806616E-10</v>
      </c>
      <c r="BP136" s="5">
        <v>1.205E-08</v>
      </c>
      <c r="BQ136" s="5">
        <v>1.19212540615</v>
      </c>
      <c r="BR136" s="5">
        <v>3.523118349</v>
      </c>
      <c r="BS136">
        <f t="shared" si="26"/>
        <v>3.966313362845583E-09</v>
      </c>
      <c r="BU136" s="5">
        <v>1.11E-09</v>
      </c>
      <c r="BV136" s="5">
        <v>0.44848279675</v>
      </c>
      <c r="BW136" s="5">
        <v>6172.869528772</v>
      </c>
      <c r="BX136">
        <f t="shared" si="27"/>
        <v>7.316887434761521E-10</v>
      </c>
      <c r="BZ136" s="5">
        <v>1.1E-10</v>
      </c>
      <c r="CA136" s="5">
        <v>1.31064298246</v>
      </c>
      <c r="CB136" s="5">
        <v>4164.311989613</v>
      </c>
      <c r="CC136">
        <f t="shared" si="28"/>
        <v>-6.308283481277835E-11</v>
      </c>
    </row>
    <row r="137" spans="13:81" ht="12.75">
      <c r="M137" s="5">
        <v>3.701E-08</v>
      </c>
      <c r="N137" s="5">
        <v>5.03069397926</v>
      </c>
      <c r="O137" s="5">
        <v>536.8045120954</v>
      </c>
      <c r="P137">
        <f t="shared" si="22"/>
        <v>2.1711521520470835E-08</v>
      </c>
      <c r="R137" s="5">
        <v>2.96E-09</v>
      </c>
      <c r="S137" s="5">
        <v>5.44152227481</v>
      </c>
      <c r="T137" s="5">
        <v>17260.1546546904</v>
      </c>
      <c r="U137">
        <f t="shared" si="23"/>
        <v>-2.4079441951573075E-09</v>
      </c>
      <c r="W137" s="5">
        <v>1.2E-10</v>
      </c>
      <c r="X137" s="5">
        <v>1.85426309994</v>
      </c>
      <c r="Y137" s="5">
        <v>5856.4776591154</v>
      </c>
      <c r="Z137">
        <f t="shared" si="24"/>
        <v>-6.901209518898515E-12</v>
      </c>
      <c r="AQ137" s="5">
        <v>1.47E-09</v>
      </c>
      <c r="AR137" s="5">
        <v>4.63371971408</v>
      </c>
      <c r="AS137" s="5">
        <v>22805.7355659936</v>
      </c>
      <c r="AT137">
        <f t="shared" si="25"/>
        <v>-5.268131571346326E-10</v>
      </c>
      <c r="BP137" s="5">
        <v>1.132E-08</v>
      </c>
      <c r="BQ137" s="5">
        <v>2.69830084955</v>
      </c>
      <c r="BR137" s="5">
        <v>6040.3472460174</v>
      </c>
      <c r="BS137">
        <f t="shared" si="26"/>
        <v>1.0990069705506623E-09</v>
      </c>
      <c r="BU137" s="5">
        <v>1.23E-09</v>
      </c>
      <c r="BV137" s="5">
        <v>5.81645568991</v>
      </c>
      <c r="BW137" s="5">
        <v>6282.0955289232</v>
      </c>
      <c r="BX137">
        <f t="shared" si="27"/>
        <v>3.560556841720379E-10</v>
      </c>
      <c r="BZ137" s="5">
        <v>9E-11</v>
      </c>
      <c r="CA137" s="5">
        <v>3.02238989305</v>
      </c>
      <c r="CB137" s="5">
        <v>23543.2305046817</v>
      </c>
      <c r="CC137">
        <f t="shared" si="28"/>
        <v>-8.99183952444218E-11</v>
      </c>
    </row>
    <row r="138" spans="13:81" ht="12.75">
      <c r="M138" s="5">
        <v>3.865E-08</v>
      </c>
      <c r="N138" s="5">
        <v>1.82634360607</v>
      </c>
      <c r="O138" s="5">
        <v>11856.2186514245</v>
      </c>
      <c r="P138">
        <f t="shared" si="22"/>
        <v>-3.7560151493698446E-08</v>
      </c>
      <c r="R138" s="5">
        <v>3.28E-09</v>
      </c>
      <c r="S138" s="5">
        <v>0.13837875384</v>
      </c>
      <c r="T138" s="5">
        <v>11015.1064773348</v>
      </c>
      <c r="U138">
        <f t="shared" si="23"/>
        <v>-3.1218631630268146E-09</v>
      </c>
      <c r="W138" s="5">
        <v>1E-10</v>
      </c>
      <c r="X138" s="5">
        <v>4.82763996845</v>
      </c>
      <c r="Y138" s="5">
        <v>13095.8426650774</v>
      </c>
      <c r="Z138">
        <f t="shared" si="24"/>
        <v>-6.493071035698199E-11</v>
      </c>
      <c r="AQ138" s="5">
        <v>1.08E-09</v>
      </c>
      <c r="AR138" s="5">
        <v>5.45280814878</v>
      </c>
      <c r="AS138" s="5">
        <v>7.1135470008</v>
      </c>
      <c r="AT138">
        <f t="shared" si="25"/>
        <v>7.953393988697898E-10</v>
      </c>
      <c r="BP138" s="5">
        <v>1.504E-08</v>
      </c>
      <c r="BQ138" s="5">
        <v>5.77002730341</v>
      </c>
      <c r="BR138" s="5">
        <v>18209.3302636601</v>
      </c>
      <c r="BS138">
        <f t="shared" si="26"/>
        <v>-1.502893608747173E-08</v>
      </c>
      <c r="BU138" s="5">
        <v>1.5E-09</v>
      </c>
      <c r="BV138" s="5">
        <v>4.26278409223</v>
      </c>
      <c r="BW138" s="5">
        <v>3128.3887650958</v>
      </c>
      <c r="BX138">
        <f t="shared" si="27"/>
        <v>3.9557024769777767E-10</v>
      </c>
      <c r="BZ138" s="5">
        <v>9E-11</v>
      </c>
      <c r="CA138" s="5">
        <v>2.04999402381</v>
      </c>
      <c r="CB138" s="5">
        <v>22003.9146348698</v>
      </c>
      <c r="CC138">
        <f t="shared" si="28"/>
        <v>-4.339098765463849E-11</v>
      </c>
    </row>
    <row r="139" spans="13:81" ht="12.75">
      <c r="M139" s="5">
        <v>3.652E-08</v>
      </c>
      <c r="N139" s="5">
        <v>1.01838584934</v>
      </c>
      <c r="O139" s="5">
        <v>16200.7727245012</v>
      </c>
      <c r="P139">
        <f t="shared" si="22"/>
        <v>1.6455386087800588E-08</v>
      </c>
      <c r="R139" s="5">
        <v>2.68E-09</v>
      </c>
      <c r="S139" s="5">
        <v>1.1390455063</v>
      </c>
      <c r="T139" s="5">
        <v>12569.6748183318</v>
      </c>
      <c r="U139">
        <f t="shared" si="23"/>
        <v>-4.907304962588463E-11</v>
      </c>
      <c r="W139" s="5">
        <v>1.1E-10</v>
      </c>
      <c r="X139" s="5">
        <v>5.38005490571</v>
      </c>
      <c r="Y139" s="5">
        <v>11790.6290886588</v>
      </c>
      <c r="Z139">
        <f t="shared" si="24"/>
        <v>8.879615744904507E-11</v>
      </c>
      <c r="AQ139" s="5">
        <v>1.48E-09</v>
      </c>
      <c r="AR139" s="5">
        <v>0.65447253687</v>
      </c>
      <c r="AS139" s="5">
        <v>95480.9471841745</v>
      </c>
      <c r="AT139">
        <f t="shared" si="25"/>
        <v>-3.7433617024052217E-10</v>
      </c>
      <c r="BP139" s="5">
        <v>1.393E-08</v>
      </c>
      <c r="BQ139" s="5">
        <v>1.62621805428</v>
      </c>
      <c r="BR139" s="5">
        <v>5120.6011455836</v>
      </c>
      <c r="BS139">
        <f t="shared" si="26"/>
        <v>-1.4304414022684094E-09</v>
      </c>
      <c r="BU139" s="5">
        <v>1.06E-09</v>
      </c>
      <c r="BV139" s="5">
        <v>2.27437761356</v>
      </c>
      <c r="BW139" s="5">
        <v>5429.8794682394</v>
      </c>
      <c r="BX139">
        <f t="shared" si="27"/>
        <v>1.0458592956621165E-09</v>
      </c>
      <c r="BZ139" s="5">
        <v>9E-11</v>
      </c>
      <c r="CA139" s="5">
        <v>4.91488110218</v>
      </c>
      <c r="CB139" s="5">
        <v>213.299095438</v>
      </c>
      <c r="CC139">
        <f t="shared" si="28"/>
        <v>2.8298832081862672E-11</v>
      </c>
    </row>
    <row r="140" spans="13:76" ht="12.75">
      <c r="M140" s="5">
        <v>3.39E-08</v>
      </c>
      <c r="N140" s="5">
        <v>0.97785123922</v>
      </c>
      <c r="O140" s="5">
        <v>8635.9420037632</v>
      </c>
      <c r="P140">
        <f t="shared" si="22"/>
        <v>3.315360163806823E-08</v>
      </c>
      <c r="R140" s="5">
        <v>2.63E-09</v>
      </c>
      <c r="S140" s="5">
        <v>0.00538633678</v>
      </c>
      <c r="T140" s="5">
        <v>4136.9104335162</v>
      </c>
      <c r="U140">
        <f t="shared" si="23"/>
        <v>2.256036824327595E-09</v>
      </c>
      <c r="W140" s="5">
        <v>1E-10</v>
      </c>
      <c r="X140" s="5">
        <v>1.40815507226</v>
      </c>
      <c r="Y140" s="5">
        <v>10988.808157535</v>
      </c>
      <c r="Z140">
        <f t="shared" si="24"/>
        <v>-3.071243141735252E-11</v>
      </c>
      <c r="AQ140" s="5">
        <v>1.19E-09</v>
      </c>
      <c r="AR140" s="5">
        <v>5.92110458985</v>
      </c>
      <c r="AS140" s="5">
        <v>33019.0211122046</v>
      </c>
      <c r="AT140">
        <f t="shared" si="25"/>
        <v>-1.1738775034168524E-09</v>
      </c>
      <c r="BP140" s="5">
        <v>1.077E-08</v>
      </c>
      <c r="BQ140" s="5">
        <v>2.93931554233</v>
      </c>
      <c r="BR140" s="5">
        <v>17256.6315363414</v>
      </c>
      <c r="BS140">
        <f t="shared" si="26"/>
        <v>3.733578316862177E-09</v>
      </c>
      <c r="BU140" s="5">
        <v>1.04E-09</v>
      </c>
      <c r="BV140" s="5">
        <v>4.42743707728</v>
      </c>
      <c r="BW140" s="5">
        <v>23543.2305046817</v>
      </c>
      <c r="BX140">
        <f t="shared" si="27"/>
        <v>-2.1510632377946617E-10</v>
      </c>
    </row>
    <row r="141" spans="13:76" ht="12.75">
      <c r="M141" s="5">
        <v>3.737E-08</v>
      </c>
      <c r="N141" s="5">
        <v>2.95380107829</v>
      </c>
      <c r="O141" s="5">
        <v>3128.3887650958</v>
      </c>
      <c r="P141">
        <f t="shared" si="22"/>
        <v>-3.2267947491750564E-08</v>
      </c>
      <c r="R141" s="5">
        <v>2.82E-09</v>
      </c>
      <c r="S141" s="5">
        <v>5.0439983748</v>
      </c>
      <c r="T141" s="5">
        <v>7477.522860216</v>
      </c>
      <c r="U141">
        <f t="shared" si="23"/>
        <v>-2.4418391342790834E-09</v>
      </c>
      <c r="W141" s="5">
        <v>1.1E-10</v>
      </c>
      <c r="X141" s="5">
        <v>3.05005267431</v>
      </c>
      <c r="Y141" s="5">
        <v>17260.1546546904</v>
      </c>
      <c r="Z141">
        <f t="shared" si="24"/>
        <v>2.185503223403545E-11</v>
      </c>
      <c r="AQ141" s="5">
        <v>1.1E-09</v>
      </c>
      <c r="AR141" s="5">
        <v>5.34824206306</v>
      </c>
      <c r="AS141" s="5">
        <v>639.897286314</v>
      </c>
      <c r="AT141">
        <f t="shared" si="25"/>
        <v>8.825680374535742E-10</v>
      </c>
      <c r="BP141" s="5">
        <v>1.232E-08</v>
      </c>
      <c r="BQ141" s="5">
        <v>0.71655165307</v>
      </c>
      <c r="BR141" s="5">
        <v>143571.324284816</v>
      </c>
      <c r="BS141">
        <f t="shared" si="26"/>
        <v>-3.3929645020230944E-09</v>
      </c>
      <c r="BU141" s="5">
        <v>1.21E-09</v>
      </c>
      <c r="BV141" s="5">
        <v>0.39459045915</v>
      </c>
      <c r="BW141" s="5">
        <v>12132.439962106</v>
      </c>
      <c r="BX141">
        <f t="shared" si="27"/>
        <v>1.823967921767456E-10</v>
      </c>
    </row>
    <row r="142" spans="13:76" ht="12.75">
      <c r="M142" s="5">
        <v>3.507E-08</v>
      </c>
      <c r="N142" s="5">
        <v>3.71291946325</v>
      </c>
      <c r="O142" s="5">
        <v>6290.1893969922</v>
      </c>
      <c r="P142">
        <f t="shared" si="22"/>
        <v>2.620262499705136E-08</v>
      </c>
      <c r="R142" s="5">
        <v>2.88E-09</v>
      </c>
      <c r="S142" s="5">
        <v>3.13401177517</v>
      </c>
      <c r="T142" s="5">
        <v>12559.038152982</v>
      </c>
      <c r="U142">
        <f t="shared" si="23"/>
        <v>2.7715941960592438E-09</v>
      </c>
      <c r="W142" s="5">
        <v>1E-10</v>
      </c>
      <c r="X142" s="5">
        <v>4.93364992366</v>
      </c>
      <c r="Y142" s="5">
        <v>12352.8526045448</v>
      </c>
      <c r="Z142">
        <f t="shared" si="24"/>
        <v>8.973761797083574E-11</v>
      </c>
      <c r="AQ142" s="5">
        <v>1.06E-09</v>
      </c>
      <c r="AR142" s="5">
        <v>3.71081682629</v>
      </c>
      <c r="AS142" s="5">
        <v>14314.1681130498</v>
      </c>
      <c r="AT142">
        <f t="shared" si="25"/>
        <v>-9.707402137787337E-10</v>
      </c>
      <c r="BP142" s="5">
        <v>1.087E-08</v>
      </c>
      <c r="BQ142" s="5">
        <v>0.99769687939</v>
      </c>
      <c r="BR142" s="5">
        <v>955.5997416086</v>
      </c>
      <c r="BS142">
        <f t="shared" si="26"/>
        <v>1.0720976509710203E-08</v>
      </c>
      <c r="BU142" s="5">
        <v>1.04E-09</v>
      </c>
      <c r="BV142" s="5">
        <v>2.41842602527</v>
      </c>
      <c r="BW142" s="5">
        <v>426.598190876</v>
      </c>
      <c r="BX142">
        <f t="shared" si="27"/>
        <v>2.0362867721843281E-10</v>
      </c>
    </row>
    <row r="143" spans="13:76" ht="12.75">
      <c r="M143" s="5">
        <v>3.086E-08</v>
      </c>
      <c r="N143" s="5">
        <v>3.64646921512</v>
      </c>
      <c r="O143" s="5">
        <v>10.6366653498</v>
      </c>
      <c r="P143">
        <f t="shared" si="22"/>
        <v>-2.4835515735032466E-08</v>
      </c>
      <c r="R143" s="5">
        <v>2.59E-09</v>
      </c>
      <c r="S143" s="5">
        <v>0.93882269387</v>
      </c>
      <c r="T143" s="5">
        <v>5642.1982426092</v>
      </c>
      <c r="U143">
        <f t="shared" si="23"/>
        <v>1.1560190004413945E-09</v>
      </c>
      <c r="AQ143" s="5">
        <v>1.39E-09</v>
      </c>
      <c r="AR143" s="5">
        <v>6.17607198418</v>
      </c>
      <c r="AS143" s="5">
        <v>24356.7807886416</v>
      </c>
      <c r="AT143">
        <f t="shared" si="25"/>
        <v>-1.1958767859554E-09</v>
      </c>
      <c r="BP143" s="5">
        <v>1.068E-08</v>
      </c>
      <c r="BQ143" s="5">
        <v>5.28472576231</v>
      </c>
      <c r="BR143" s="5">
        <v>65147.6197681377</v>
      </c>
      <c r="BS143">
        <f t="shared" si="26"/>
        <v>5.513061291390745E-09</v>
      </c>
      <c r="BU143" s="5">
        <v>1.1E-09</v>
      </c>
      <c r="BV143" s="5">
        <v>5.80381480447</v>
      </c>
      <c r="BW143" s="5">
        <v>16858.4825329332</v>
      </c>
      <c r="BX143">
        <f t="shared" si="27"/>
        <v>7.60154426222016E-10</v>
      </c>
    </row>
    <row r="144" spans="13:76" ht="12.75">
      <c r="M144" s="5">
        <v>3.397E-08</v>
      </c>
      <c r="N144" s="5">
        <v>1.10590684017</v>
      </c>
      <c r="O144" s="5">
        <v>14712.317116458</v>
      </c>
      <c r="P144">
        <f t="shared" si="22"/>
        <v>3.067564530261593E-08</v>
      </c>
      <c r="R144" s="5">
        <v>2.92E-09</v>
      </c>
      <c r="S144" s="5">
        <v>1.98420020514</v>
      </c>
      <c r="T144" s="5">
        <v>12132.439962106</v>
      </c>
      <c r="U144">
        <f t="shared" si="23"/>
        <v>2.877842597820355E-09</v>
      </c>
      <c r="AQ144" s="5">
        <v>1.18E-09</v>
      </c>
      <c r="AR144" s="5">
        <v>5.5973871267</v>
      </c>
      <c r="AS144" s="5">
        <v>161338.50000087</v>
      </c>
      <c r="AT144">
        <f t="shared" si="25"/>
        <v>3.2175229319989616E-10</v>
      </c>
      <c r="BP144" s="5">
        <v>9.8E-09</v>
      </c>
      <c r="BQ144" s="5">
        <v>5.10949204607</v>
      </c>
      <c r="BR144" s="5">
        <v>6172.869528772</v>
      </c>
      <c r="BS144">
        <f t="shared" si="26"/>
        <v>7.027973232689074E-09</v>
      </c>
      <c r="BU144" s="5">
        <v>1E-09</v>
      </c>
      <c r="BV144" s="5">
        <v>2.93805577485</v>
      </c>
      <c r="BW144" s="5">
        <v>4535.0594369244</v>
      </c>
      <c r="BX144">
        <f t="shared" si="27"/>
        <v>-4.861094744352183E-10</v>
      </c>
    </row>
    <row r="145" spans="13:76" ht="12.75">
      <c r="M145" s="5">
        <v>3.334E-08</v>
      </c>
      <c r="N145" s="5">
        <v>0.83684924911</v>
      </c>
      <c r="O145" s="5">
        <v>6496.3749454294</v>
      </c>
      <c r="P145">
        <f t="shared" si="22"/>
        <v>1.5971978456499614E-08</v>
      </c>
      <c r="R145" s="5">
        <v>2.47E-09</v>
      </c>
      <c r="S145" s="5">
        <v>3.84244798532</v>
      </c>
      <c r="T145" s="5">
        <v>5429.8794682394</v>
      </c>
      <c r="U145">
        <f t="shared" si="23"/>
        <v>4.087484615271787E-10</v>
      </c>
      <c r="AQ145" s="5">
        <v>1.17E-09</v>
      </c>
      <c r="AR145" s="5">
        <v>3.6506527164</v>
      </c>
      <c r="AS145" s="5">
        <v>45585.1728121874</v>
      </c>
      <c r="AT145">
        <f t="shared" si="25"/>
        <v>-5.550417842908332E-10</v>
      </c>
      <c r="BP145" s="5">
        <v>1.169E-08</v>
      </c>
      <c r="BQ145" s="5">
        <v>3.11664290862</v>
      </c>
      <c r="BR145" s="5">
        <v>14945.3161735544</v>
      </c>
      <c r="BS145">
        <f t="shared" si="26"/>
        <v>-3.2816292030763688E-09</v>
      </c>
      <c r="BU145" s="5">
        <v>9.7E-10</v>
      </c>
      <c r="BV145" s="5">
        <v>3.97935904984</v>
      </c>
      <c r="BW145" s="5">
        <v>6133.5126528568</v>
      </c>
      <c r="BX145">
        <f t="shared" si="27"/>
        <v>-7.050499648108389E-10</v>
      </c>
    </row>
    <row r="146" spans="13:76" ht="12.75">
      <c r="M146" s="5">
        <v>2.805E-08</v>
      </c>
      <c r="N146" s="5">
        <v>2.58504514144</v>
      </c>
      <c r="O146" s="5">
        <v>14314.1681130498</v>
      </c>
      <c r="P146">
        <f t="shared" si="22"/>
        <v>-2.1227148110367628E-08</v>
      </c>
      <c r="R146" s="5">
        <v>2.45E-09</v>
      </c>
      <c r="S146" s="5">
        <v>5.70467521726</v>
      </c>
      <c r="T146" s="5">
        <v>65147.6197681377</v>
      </c>
      <c r="U146">
        <f t="shared" si="23"/>
        <v>2.992865673758503E-10</v>
      </c>
      <c r="AQ146" s="5">
        <v>1.27E-09</v>
      </c>
      <c r="AR146" s="5">
        <v>4.74596574209</v>
      </c>
      <c r="AS146" s="5">
        <v>49515.382508407</v>
      </c>
      <c r="AT146">
        <f t="shared" si="25"/>
        <v>-1.252112435793041E-09</v>
      </c>
      <c r="BP146" s="5">
        <v>1.202E-08</v>
      </c>
      <c r="BQ146" s="5">
        <v>4.02992510402</v>
      </c>
      <c r="BR146" s="5">
        <v>553.5694028424</v>
      </c>
      <c r="BS146">
        <f t="shared" si="26"/>
        <v>-2.009858975353435E-09</v>
      </c>
      <c r="BU146" s="5">
        <v>1.1E-09</v>
      </c>
      <c r="BV146" s="5">
        <v>6.22339014386</v>
      </c>
      <c r="BW146" s="5">
        <v>12146.6670561076</v>
      </c>
      <c r="BX146">
        <f t="shared" si="27"/>
        <v>-1.4081255149010318E-10</v>
      </c>
    </row>
    <row r="147" spans="13:76" ht="12.75">
      <c r="M147" s="5">
        <v>3.65E-08</v>
      </c>
      <c r="N147" s="5">
        <v>1.08344142571</v>
      </c>
      <c r="O147" s="5">
        <v>88860.0570709866</v>
      </c>
      <c r="P147">
        <f t="shared" si="22"/>
        <v>1.9150043030355924E-08</v>
      </c>
      <c r="R147" s="5">
        <v>2.41E-09</v>
      </c>
      <c r="S147" s="5">
        <v>0.99480969552</v>
      </c>
      <c r="T147" s="5">
        <v>3634.6210245184</v>
      </c>
      <c r="U147">
        <f t="shared" si="23"/>
        <v>-1.7738130477353205E-10</v>
      </c>
      <c r="AQ147" s="5">
        <v>1.2E-09</v>
      </c>
      <c r="AR147" s="5">
        <v>1.04211499785</v>
      </c>
      <c r="AS147" s="5">
        <v>6915.8595893046</v>
      </c>
      <c r="AT147">
        <f t="shared" si="25"/>
        <v>-4.971870624220488E-10</v>
      </c>
      <c r="BP147" s="5">
        <v>9.79E-09</v>
      </c>
      <c r="BQ147" s="5">
        <v>2.00000879212</v>
      </c>
      <c r="BR147" s="5">
        <v>15110.4661198662</v>
      </c>
      <c r="BS147">
        <f t="shared" si="26"/>
        <v>5.742444808148513E-09</v>
      </c>
      <c r="BU147" s="5">
        <v>9.8E-10</v>
      </c>
      <c r="BV147" s="5">
        <v>0.87576563709</v>
      </c>
      <c r="BW147" s="5">
        <v>6525.8044539654</v>
      </c>
      <c r="BX147">
        <f t="shared" si="27"/>
        <v>7.675925290919184E-10</v>
      </c>
    </row>
    <row r="148" spans="13:76" ht="12.75">
      <c r="M148" s="5">
        <v>3.388E-08</v>
      </c>
      <c r="N148" s="5">
        <v>3.20185096055</v>
      </c>
      <c r="O148" s="5">
        <v>5120.6011455836</v>
      </c>
      <c r="P148">
        <f t="shared" si="22"/>
        <v>-3.368367699271277E-08</v>
      </c>
      <c r="R148" s="5">
        <v>2.46E-09</v>
      </c>
      <c r="S148" s="5">
        <v>3.06168069935</v>
      </c>
      <c r="T148" s="5">
        <v>110.2063212194</v>
      </c>
      <c r="U148">
        <f t="shared" si="23"/>
        <v>-7.208924389939221E-10</v>
      </c>
      <c r="AQ148" s="5">
        <v>1.2E-09</v>
      </c>
      <c r="AR148" s="5">
        <v>5.60638811846</v>
      </c>
      <c r="AS148" s="5">
        <v>5650.2921106782</v>
      </c>
      <c r="AT148">
        <f t="shared" si="25"/>
        <v>1.1014499429966312E-09</v>
      </c>
      <c r="BP148" s="5">
        <v>9.62E-09</v>
      </c>
      <c r="BQ148" s="5">
        <v>4.023807714</v>
      </c>
      <c r="BR148" s="5">
        <v>6282.0955289232</v>
      </c>
      <c r="BS148">
        <f t="shared" si="26"/>
        <v>8.369697994847412E-09</v>
      </c>
      <c r="BU148" s="5">
        <v>9.8E-10</v>
      </c>
      <c r="BV148" s="5">
        <v>3.15248421301</v>
      </c>
      <c r="BW148" s="5">
        <v>10440.2742926036</v>
      </c>
      <c r="BX148">
        <f t="shared" si="27"/>
        <v>8.136301653230298E-10</v>
      </c>
    </row>
    <row r="149" spans="13:76" ht="12.75">
      <c r="M149" s="5">
        <v>3.252E-08</v>
      </c>
      <c r="N149" s="5">
        <v>3.47859752062</v>
      </c>
      <c r="O149" s="5">
        <v>6133.5126528568</v>
      </c>
      <c r="P149">
        <f t="shared" si="22"/>
        <v>-3.1457700412805874E-08</v>
      </c>
      <c r="R149" s="5">
        <v>2.39E-09</v>
      </c>
      <c r="S149" s="5">
        <v>6.11855909114</v>
      </c>
      <c r="T149" s="5">
        <v>11856.2186514245</v>
      </c>
      <c r="U149">
        <f t="shared" si="23"/>
        <v>1.4619730510190927E-09</v>
      </c>
      <c r="AQ149" s="5">
        <v>1.15E-09</v>
      </c>
      <c r="AR149" s="5">
        <v>3.10668213289</v>
      </c>
      <c r="AS149" s="5">
        <v>14712.317116458</v>
      </c>
      <c r="AT149">
        <f t="shared" si="25"/>
        <v>1.6174590361935825E-11</v>
      </c>
      <c r="BP149" s="5">
        <v>9.99E-09</v>
      </c>
      <c r="BQ149" s="5">
        <v>3.6264300279</v>
      </c>
      <c r="BR149" s="5">
        <v>6262.300454499</v>
      </c>
      <c r="BS149">
        <f t="shared" si="26"/>
        <v>4.02613447126019E-09</v>
      </c>
      <c r="BU149" s="5">
        <v>9.5E-10</v>
      </c>
      <c r="BV149" s="5">
        <v>2.461684111</v>
      </c>
      <c r="BW149" s="5">
        <v>3097.88382272579</v>
      </c>
      <c r="BX149">
        <f t="shared" si="27"/>
        <v>-8.962410906185881E-10</v>
      </c>
    </row>
    <row r="150" spans="13:76" ht="12.75">
      <c r="M150" s="5">
        <v>2.553E-08</v>
      </c>
      <c r="N150" s="5">
        <v>3.94869034189</v>
      </c>
      <c r="O150" s="5">
        <v>1990.745017041</v>
      </c>
      <c r="P150">
        <f t="shared" si="22"/>
        <v>-2.5346246971370065E-08</v>
      </c>
      <c r="R150" s="5">
        <v>2.63E-09</v>
      </c>
      <c r="S150" s="5">
        <v>0.66348415419</v>
      </c>
      <c r="T150" s="5">
        <v>21228.3920235458</v>
      </c>
      <c r="U150">
        <f t="shared" si="23"/>
        <v>-2.1868701452430617E-09</v>
      </c>
      <c r="AQ150" s="5">
        <v>9.9E-10</v>
      </c>
      <c r="AR150" s="5">
        <v>0.69018940049</v>
      </c>
      <c r="AS150" s="5">
        <v>12779.4507954208</v>
      </c>
      <c r="AT150">
        <f t="shared" si="25"/>
        <v>8.501398621860746E-10</v>
      </c>
      <c r="BP150" s="5">
        <v>1.03E-08</v>
      </c>
      <c r="BQ150" s="5">
        <v>5.84989900289</v>
      </c>
      <c r="BR150" s="5">
        <v>213.299095438</v>
      </c>
      <c r="BS150">
        <f t="shared" si="26"/>
        <v>-5.944020555447969E-09</v>
      </c>
      <c r="BU150" s="5">
        <v>8.8E-10</v>
      </c>
      <c r="BV150" s="5">
        <v>0.23371480284</v>
      </c>
      <c r="BW150" s="5">
        <v>13119.7211028251</v>
      </c>
      <c r="BX150">
        <f t="shared" si="27"/>
        <v>-3.8470207226880106E-10</v>
      </c>
    </row>
    <row r="151" spans="13:76" ht="12.75">
      <c r="M151" s="5">
        <v>3.52E-08</v>
      </c>
      <c r="N151" s="5">
        <v>2.05559692878</v>
      </c>
      <c r="O151" s="5">
        <v>244287.600007227</v>
      </c>
      <c r="P151">
        <f t="shared" si="22"/>
        <v>1.2430872881541196E-09</v>
      </c>
      <c r="R151" s="5">
        <v>2.62E-09</v>
      </c>
      <c r="S151" s="5">
        <v>1.51070507866</v>
      </c>
      <c r="T151" s="5">
        <v>12146.6670561076</v>
      </c>
      <c r="U151">
        <f t="shared" si="23"/>
        <v>2.5983450434761393E-09</v>
      </c>
      <c r="AQ151" s="5">
        <v>9.7E-10</v>
      </c>
      <c r="AR151" s="5">
        <v>1.07908724794</v>
      </c>
      <c r="AS151" s="5">
        <v>9917.6968745098</v>
      </c>
      <c r="AT151">
        <f t="shared" si="25"/>
        <v>-9.134862154468041E-10</v>
      </c>
      <c r="BP151" s="5">
        <v>1.014E-08</v>
      </c>
      <c r="BQ151" s="5">
        <v>2.84221578218</v>
      </c>
      <c r="BR151" s="5">
        <v>8662.240323563</v>
      </c>
      <c r="BS151">
        <f t="shared" si="26"/>
        <v>-7.460246525691243E-09</v>
      </c>
      <c r="BU151" s="5">
        <v>9.8E-10</v>
      </c>
      <c r="BV151" s="5">
        <v>5.77016493489</v>
      </c>
      <c r="BW151" s="5">
        <v>7342.4577801806</v>
      </c>
      <c r="BX151">
        <f t="shared" si="27"/>
        <v>-1.1202274330942678E-10</v>
      </c>
    </row>
    <row r="152" spans="13:76" ht="12.75">
      <c r="M152" s="5">
        <v>2.565E-08</v>
      </c>
      <c r="N152" s="5">
        <v>1.560717849</v>
      </c>
      <c r="O152" s="5">
        <v>23543.2305046817</v>
      </c>
      <c r="P152">
        <f t="shared" si="22"/>
        <v>-1.7054040789577215E-09</v>
      </c>
      <c r="R152" s="5">
        <v>2.3E-09</v>
      </c>
      <c r="S152" s="5">
        <v>1.75927314884</v>
      </c>
      <c r="T152" s="5">
        <v>9779.1086761254</v>
      </c>
      <c r="U152">
        <f t="shared" si="23"/>
        <v>-1.7904442800390035E-09</v>
      </c>
      <c r="AQ152" s="5">
        <v>9.3E-10</v>
      </c>
      <c r="AR152" s="5">
        <v>2.62295197319</v>
      </c>
      <c r="AS152" s="5">
        <v>17260.1546546904</v>
      </c>
      <c r="AT152">
        <f t="shared" si="25"/>
        <v>5.457334218169541E-10</v>
      </c>
      <c r="BP152" s="5">
        <v>1.185E-08</v>
      </c>
      <c r="BQ152" s="5">
        <v>1.51330541132</v>
      </c>
      <c r="BR152" s="5">
        <v>17654.7805397496</v>
      </c>
      <c r="BS152">
        <f t="shared" si="26"/>
        <v>-3.8478101609714115E-10</v>
      </c>
      <c r="BU152" s="5">
        <v>9.2E-10</v>
      </c>
      <c r="BV152" s="5">
        <v>6.03915555063</v>
      </c>
      <c r="BW152" s="5">
        <v>20426.571092422</v>
      </c>
      <c r="BX152">
        <f t="shared" si="27"/>
        <v>6.794798016895848E-10</v>
      </c>
    </row>
    <row r="153" spans="13:76" ht="12.75">
      <c r="M153" s="5">
        <v>2.621E-08</v>
      </c>
      <c r="N153" s="5">
        <v>3.85639359951</v>
      </c>
      <c r="O153" s="5">
        <v>266.6070417218</v>
      </c>
      <c r="P153">
        <f t="shared" si="22"/>
        <v>1.7356069143812796E-08</v>
      </c>
      <c r="R153" s="5">
        <v>2.23E-09</v>
      </c>
      <c r="S153" s="5">
        <v>2.00967043606</v>
      </c>
      <c r="T153" s="5">
        <v>6172.869528772</v>
      </c>
      <c r="U153">
        <f t="shared" si="23"/>
        <v>-1.6627271664535296E-09</v>
      </c>
      <c r="AQ153" s="5">
        <v>9.9E-10</v>
      </c>
      <c r="AR153" s="5">
        <v>4.45774681732</v>
      </c>
      <c r="AS153" s="5">
        <v>4933.2084403326</v>
      </c>
      <c r="AT153">
        <f t="shared" si="25"/>
        <v>-5.858716313175132E-10</v>
      </c>
      <c r="BP153" s="5">
        <v>9.67E-09</v>
      </c>
      <c r="BQ153" s="5">
        <v>2.67081017562</v>
      </c>
      <c r="BR153" s="5">
        <v>5650.2921106782</v>
      </c>
      <c r="BS153">
        <f t="shared" si="26"/>
        <v>-9.473209399386365E-09</v>
      </c>
      <c r="BU153" s="5">
        <v>9.6E-10</v>
      </c>
      <c r="BV153" s="5">
        <v>5.56909292561</v>
      </c>
      <c r="BW153" s="5">
        <v>2388.8940204492</v>
      </c>
      <c r="BX153">
        <f t="shared" si="27"/>
        <v>-9.029744665294541E-10</v>
      </c>
    </row>
    <row r="154" spans="13:76" ht="12.75">
      <c r="M154" s="5">
        <v>2.955E-08</v>
      </c>
      <c r="N154" s="5">
        <v>3.39692949667</v>
      </c>
      <c r="O154" s="5">
        <v>9225.539273283</v>
      </c>
      <c r="P154">
        <f t="shared" si="22"/>
        <v>-2.667730738661677E-08</v>
      </c>
      <c r="R154" s="5">
        <v>2.46E-09</v>
      </c>
      <c r="S154" s="5">
        <v>1.10411690865</v>
      </c>
      <c r="T154" s="5">
        <v>6282.0955289232</v>
      </c>
      <c r="U154">
        <f t="shared" si="23"/>
        <v>-2.3547113906573747E-09</v>
      </c>
      <c r="AQ154" s="5">
        <v>1.23E-09</v>
      </c>
      <c r="AR154" s="5">
        <v>1.37488922089</v>
      </c>
      <c r="AS154" s="5">
        <v>28286.9904848612</v>
      </c>
      <c r="AT154">
        <f t="shared" si="25"/>
        <v>-1.2298951274577124E-09</v>
      </c>
      <c r="BP154" s="5">
        <v>1.222E-08</v>
      </c>
      <c r="BQ154" s="5">
        <v>2.65423784904</v>
      </c>
      <c r="BR154" s="5">
        <v>88860.0570709866</v>
      </c>
      <c r="BS154">
        <f t="shared" si="26"/>
        <v>1.0403040011842955E-08</v>
      </c>
      <c r="BU154" s="5">
        <v>8.1E-10</v>
      </c>
      <c r="BV154" s="5">
        <v>1.32131147691</v>
      </c>
      <c r="BW154" s="5">
        <v>5650.2921106782</v>
      </c>
      <c r="BX154">
        <f t="shared" si="27"/>
        <v>-1.5557828908626708E-11</v>
      </c>
    </row>
    <row r="155" spans="13:76" ht="12.75">
      <c r="M155" s="5">
        <v>2.876E-08</v>
      </c>
      <c r="N155" s="5">
        <v>6.02635617464</v>
      </c>
      <c r="O155" s="5">
        <v>154717.609887682</v>
      </c>
      <c r="P155">
        <f t="shared" si="22"/>
        <v>-1.4585097537508357E-08</v>
      </c>
      <c r="R155" s="5">
        <v>2.21E-09</v>
      </c>
      <c r="S155" s="5">
        <v>3.03945240854</v>
      </c>
      <c r="T155" s="5">
        <v>8635.9420037632</v>
      </c>
      <c r="U155">
        <f t="shared" si="23"/>
        <v>-1.4254743277578296E-09</v>
      </c>
      <c r="AQ155" s="5">
        <v>1.21E-09</v>
      </c>
      <c r="AR155" s="5">
        <v>5.19767249813</v>
      </c>
      <c r="AS155" s="5">
        <v>27511.4678735372</v>
      </c>
      <c r="AT155">
        <f t="shared" si="25"/>
        <v>-1.0014732042051392E-09</v>
      </c>
      <c r="BP155" s="5">
        <v>9.81E-09</v>
      </c>
      <c r="BQ155" s="5">
        <v>2.36370360283</v>
      </c>
      <c r="BR155" s="5">
        <v>6206.8097787158</v>
      </c>
      <c r="BS155">
        <f t="shared" si="26"/>
        <v>-9.801564530299016E-09</v>
      </c>
      <c r="BU155" s="5">
        <v>8.6E-10</v>
      </c>
      <c r="BV155" s="5">
        <v>3.94529200528</v>
      </c>
      <c r="BW155" s="5">
        <v>10454.5013866052</v>
      </c>
      <c r="BX155">
        <f t="shared" si="27"/>
        <v>7.998439552896214E-10</v>
      </c>
    </row>
    <row r="156" spans="13:76" ht="12.75">
      <c r="M156" s="5">
        <v>2.395E-08</v>
      </c>
      <c r="N156" s="5">
        <v>1.16131956403</v>
      </c>
      <c r="O156" s="5">
        <v>10984.1923516998</v>
      </c>
      <c r="P156">
        <f t="shared" si="22"/>
        <v>-1.3831571005737239E-08</v>
      </c>
      <c r="R156" s="5">
        <v>2.14E-09</v>
      </c>
      <c r="S156" s="5">
        <v>4.03840869663</v>
      </c>
      <c r="T156" s="5">
        <v>14314.1681130498</v>
      </c>
      <c r="U156">
        <f t="shared" si="23"/>
        <v>-1.5790072106675187E-09</v>
      </c>
      <c r="AQ156" s="5">
        <v>1.05E-09</v>
      </c>
      <c r="AR156" s="5">
        <v>0.87192267806</v>
      </c>
      <c r="AS156" s="5">
        <v>77375.957204924</v>
      </c>
      <c r="AT156">
        <f t="shared" si="25"/>
        <v>-6.695697259834147E-10</v>
      </c>
      <c r="BP156" s="5">
        <v>1.033E-08</v>
      </c>
      <c r="BQ156" s="5">
        <v>0.13874927606</v>
      </c>
      <c r="BR156" s="5">
        <v>11712.9553182308</v>
      </c>
      <c r="BS156">
        <f t="shared" si="26"/>
        <v>8.842727360288759E-09</v>
      </c>
      <c r="BU156" s="5">
        <v>7.6E-10</v>
      </c>
      <c r="BV156" s="5">
        <v>2.70729716925</v>
      </c>
      <c r="BW156" s="5">
        <v>143571.324284816</v>
      </c>
      <c r="BX156">
        <f t="shared" si="27"/>
        <v>7.52464098813626E-10</v>
      </c>
    </row>
    <row r="157" spans="13:76" ht="12.75">
      <c r="M157" s="5">
        <v>3.161E-08</v>
      </c>
      <c r="N157" s="5">
        <v>1.32798718453</v>
      </c>
      <c r="O157" s="5">
        <v>10873.9860304804</v>
      </c>
      <c r="P157">
        <f t="shared" si="22"/>
        <v>-3.076660986801568E-08</v>
      </c>
      <c r="R157" s="5">
        <v>2.36E-09</v>
      </c>
      <c r="S157" s="5">
        <v>5.4691507058</v>
      </c>
      <c r="T157" s="5">
        <v>13916.0191096416</v>
      </c>
      <c r="U157">
        <f t="shared" si="23"/>
        <v>2.1509196496006787E-09</v>
      </c>
      <c r="AQ157" s="5">
        <v>8.7E-10</v>
      </c>
      <c r="AR157" s="5">
        <v>3.9363781295</v>
      </c>
      <c r="AS157" s="5">
        <v>17654.7805397496</v>
      </c>
      <c r="AT157">
        <f t="shared" si="25"/>
        <v>5.936598417576461E-10</v>
      </c>
      <c r="BP157" s="5">
        <v>1.103E-08</v>
      </c>
      <c r="BQ157" s="5">
        <v>3.08477302937</v>
      </c>
      <c r="BR157" s="5">
        <v>43232.3066584156</v>
      </c>
      <c r="BS157">
        <f t="shared" si="26"/>
        <v>1.0966388411886083E-08</v>
      </c>
      <c r="BU157" s="5">
        <v>9.1E-10</v>
      </c>
      <c r="BV157" s="5">
        <v>5.64100034152</v>
      </c>
      <c r="BW157" s="5">
        <v>8827.3902698748</v>
      </c>
      <c r="BX157">
        <f t="shared" si="27"/>
        <v>5.35884822076788E-10</v>
      </c>
    </row>
    <row r="158" spans="13:76" ht="12.75">
      <c r="M158" s="5">
        <v>3.163E-08</v>
      </c>
      <c r="N158" s="5">
        <v>5.08946464629</v>
      </c>
      <c r="O158" s="5">
        <v>21228.3920235458</v>
      </c>
      <c r="P158">
        <f t="shared" si="22"/>
        <v>-9.424878025667715E-09</v>
      </c>
      <c r="R158" s="5">
        <v>2.24E-09</v>
      </c>
      <c r="S158" s="5">
        <v>4.68408089456</v>
      </c>
      <c r="T158" s="5">
        <v>24072.9214697764</v>
      </c>
      <c r="U158">
        <f t="shared" si="23"/>
        <v>5.965128389348721E-10</v>
      </c>
      <c r="AQ158" s="5">
        <v>1.22E-09</v>
      </c>
      <c r="AR158" s="5">
        <v>2.2395606868</v>
      </c>
      <c r="AS158" s="5">
        <v>83997.0911355953</v>
      </c>
      <c r="AT158">
        <f t="shared" si="25"/>
        <v>-1.2123189133580993E-09</v>
      </c>
      <c r="BP158" s="5">
        <v>7.81E-09</v>
      </c>
      <c r="BQ158" s="5">
        <v>2.53372735932</v>
      </c>
      <c r="BR158" s="5">
        <v>16496.3613962024</v>
      </c>
      <c r="BS158">
        <f t="shared" si="26"/>
        <v>-4.85412814298332E-09</v>
      </c>
      <c r="BU158" s="5">
        <v>7.6E-10</v>
      </c>
      <c r="BV158" s="5">
        <v>1.80783856698</v>
      </c>
      <c r="BW158" s="5">
        <v>28286.9904848612</v>
      </c>
      <c r="BX158">
        <f t="shared" si="27"/>
        <v>-6.856540116599613E-10</v>
      </c>
    </row>
    <row r="159" spans="13:76" ht="12.75">
      <c r="M159" s="5">
        <v>2.361E-08</v>
      </c>
      <c r="N159" s="5">
        <v>4.27212906992</v>
      </c>
      <c r="O159" s="5">
        <v>6040.3472460174</v>
      </c>
      <c r="P159">
        <f t="shared" si="22"/>
        <v>-2.350530925514587E-08</v>
      </c>
      <c r="R159" s="5">
        <v>2.12E-09</v>
      </c>
      <c r="S159" s="5">
        <v>2.13695625494</v>
      </c>
      <c r="T159" s="5">
        <v>5849.3641121146</v>
      </c>
      <c r="U159">
        <f t="shared" si="23"/>
        <v>2.912108654983402E-10</v>
      </c>
      <c r="AQ159" s="5">
        <v>8.7E-10</v>
      </c>
      <c r="AR159" s="5">
        <v>4.18201600952</v>
      </c>
      <c r="AS159" s="5">
        <v>22779.4372461938</v>
      </c>
      <c r="AT159">
        <f t="shared" si="25"/>
        <v>3.452817552764578E-10</v>
      </c>
      <c r="BP159" s="5">
        <v>1.019E-08</v>
      </c>
      <c r="BQ159" s="5">
        <v>3.04569392376</v>
      </c>
      <c r="BR159" s="5">
        <v>6037.244203762</v>
      </c>
      <c r="BS159">
        <f t="shared" si="26"/>
        <v>-2.1446339524939916E-09</v>
      </c>
      <c r="BU159" s="5">
        <v>8.1E-10</v>
      </c>
      <c r="BV159" s="5">
        <v>1.90858992196</v>
      </c>
      <c r="BW159" s="5">
        <v>29088.811415985</v>
      </c>
      <c r="BX159">
        <f t="shared" si="27"/>
        <v>4.5917526709877467E-10</v>
      </c>
    </row>
    <row r="160" spans="13:76" ht="12.75">
      <c r="M160" s="5">
        <v>3.03E-08</v>
      </c>
      <c r="N160" s="5">
        <v>1.80209931347</v>
      </c>
      <c r="O160" s="5">
        <v>35371.8872659764</v>
      </c>
      <c r="P160">
        <f t="shared" si="22"/>
        <v>-2.6232673141697878E-08</v>
      </c>
      <c r="R160" s="5">
        <v>2.07E-09</v>
      </c>
      <c r="S160" s="5">
        <v>3.07724246401</v>
      </c>
      <c r="T160" s="5">
        <v>11.729352836</v>
      </c>
      <c r="U160">
        <f t="shared" si="23"/>
        <v>-2.0634319645753153E-09</v>
      </c>
      <c r="AQ160" s="5">
        <v>1.04E-09</v>
      </c>
      <c r="AR160" s="5">
        <v>4.59580877295</v>
      </c>
      <c r="AS160" s="5">
        <v>1349.8674096588</v>
      </c>
      <c r="AT160">
        <f t="shared" si="25"/>
        <v>-7.099575768890837E-10</v>
      </c>
      <c r="BP160" s="5">
        <v>7.95E-09</v>
      </c>
      <c r="BQ160" s="5">
        <v>5.80662989111</v>
      </c>
      <c r="BR160" s="5">
        <v>5230.807466803</v>
      </c>
      <c r="BS160">
        <f t="shared" si="26"/>
        <v>4.789729665772399E-09</v>
      </c>
      <c r="BU160" s="5">
        <v>7.5E-10</v>
      </c>
      <c r="BV160" s="5">
        <v>3.40955892978</v>
      </c>
      <c r="BW160" s="5">
        <v>5481.2549188676</v>
      </c>
      <c r="BX160">
        <f t="shared" si="27"/>
        <v>-2.379697425021775E-11</v>
      </c>
    </row>
    <row r="161" spans="13:76" ht="12.75">
      <c r="M161" s="5">
        <v>2.343E-08</v>
      </c>
      <c r="N161" s="5">
        <v>3.576898605</v>
      </c>
      <c r="O161" s="5">
        <v>10969.9652576982</v>
      </c>
      <c r="P161">
        <f t="shared" si="22"/>
        <v>2.3395348871354397E-08</v>
      </c>
      <c r="R161" s="5">
        <v>2.07E-09</v>
      </c>
      <c r="S161" s="5">
        <v>6.10306282747</v>
      </c>
      <c r="T161" s="5">
        <v>23543.2305046817</v>
      </c>
      <c r="U161">
        <f t="shared" si="23"/>
        <v>2.058921126015328E-09</v>
      </c>
      <c r="AQ161" s="5">
        <v>1.02E-09</v>
      </c>
      <c r="AR161" s="5">
        <v>2.83545248411</v>
      </c>
      <c r="AS161" s="5">
        <v>12352.8526045448</v>
      </c>
      <c r="AT161">
        <f t="shared" si="25"/>
        <v>-8.496049351822857E-10</v>
      </c>
      <c r="BP161" s="5">
        <v>8.13E-09</v>
      </c>
      <c r="BQ161" s="5">
        <v>3.57710279439</v>
      </c>
      <c r="BR161" s="5">
        <v>10177.2576795336</v>
      </c>
      <c r="BS161">
        <f t="shared" si="26"/>
        <v>-7.867484242477955E-09</v>
      </c>
      <c r="BU161" s="5">
        <v>6.9E-10</v>
      </c>
      <c r="BV161" s="5">
        <v>4.49936170873</v>
      </c>
      <c r="BW161" s="5">
        <v>17256.6315363414</v>
      </c>
      <c r="BX161">
        <f t="shared" si="27"/>
        <v>-6.446037320073199E-10</v>
      </c>
    </row>
    <row r="162" spans="13:76" ht="12.75">
      <c r="M162" s="5">
        <v>2.618E-08</v>
      </c>
      <c r="N162" s="5">
        <v>2.57870156528</v>
      </c>
      <c r="O162" s="5">
        <v>22483.8485744925</v>
      </c>
      <c r="P162">
        <f t="shared" si="22"/>
        <v>-1.5677144699873676E-08</v>
      </c>
      <c r="R162" s="5">
        <v>2.66E-09</v>
      </c>
      <c r="S162" s="5">
        <v>1.00709566823</v>
      </c>
      <c r="T162" s="5">
        <v>2388.8940204492</v>
      </c>
      <c r="U162">
        <f t="shared" si="23"/>
        <v>1.2677943473897178E-09</v>
      </c>
      <c r="AQ162" s="5">
        <v>1.02E-09</v>
      </c>
      <c r="AR162" s="5">
        <v>3.97386522171</v>
      </c>
      <c r="AS162" s="5">
        <v>10818.1352869158</v>
      </c>
      <c r="AT162">
        <f t="shared" si="25"/>
        <v>1.6022187441696052E-10</v>
      </c>
      <c r="BP162" s="5">
        <v>9.62E-09</v>
      </c>
      <c r="BQ162" s="5">
        <v>5.31470594766</v>
      </c>
      <c r="BR162" s="5">
        <v>6284.0561710596</v>
      </c>
      <c r="BS162">
        <f t="shared" si="26"/>
        <v>6.706160660891193E-09</v>
      </c>
      <c r="BU162" s="5">
        <v>8.8E-10</v>
      </c>
      <c r="BV162" s="5">
        <v>1.10098454357</v>
      </c>
      <c r="BW162" s="5">
        <v>11769.8536931664</v>
      </c>
      <c r="BX162">
        <f t="shared" si="27"/>
        <v>3.8525243421888366E-10</v>
      </c>
    </row>
    <row r="163" spans="13:76" ht="12.75">
      <c r="M163" s="5">
        <v>2.113E-08</v>
      </c>
      <c r="N163" s="5">
        <v>3.71393780256</v>
      </c>
      <c r="O163" s="5">
        <v>65147.6197681377</v>
      </c>
      <c r="P163">
        <f t="shared" si="22"/>
        <v>1.8097207636297076E-08</v>
      </c>
      <c r="R163" s="5">
        <v>2.17E-09</v>
      </c>
      <c r="S163" s="5">
        <v>6.27837036335</v>
      </c>
      <c r="T163" s="5">
        <v>17267.2682016911</v>
      </c>
      <c r="U163">
        <f t="shared" si="23"/>
        <v>-5.62747752332166E-11</v>
      </c>
      <c r="AQ163" s="5">
        <v>1.01E-09</v>
      </c>
      <c r="AR163" s="5">
        <v>4.32892825857</v>
      </c>
      <c r="AS163" s="5">
        <v>36147.4098773004</v>
      </c>
      <c r="AT163">
        <f t="shared" si="25"/>
        <v>-5.108482359835733E-10</v>
      </c>
      <c r="BP163" s="5">
        <v>7.21E-09</v>
      </c>
      <c r="BQ163" s="5">
        <v>5.96264301567</v>
      </c>
      <c r="BR163" s="5">
        <v>12559.038152982</v>
      </c>
      <c r="BS163">
        <f t="shared" si="26"/>
        <v>-7.204871938843206E-09</v>
      </c>
      <c r="BU163" s="5">
        <v>6.6E-10</v>
      </c>
      <c r="BV163" s="5">
        <v>2.78285801977</v>
      </c>
      <c r="BW163" s="5">
        <v>536.8045120954</v>
      </c>
      <c r="BX163">
        <f t="shared" si="27"/>
        <v>-6.591706526778931E-10</v>
      </c>
    </row>
    <row r="164" spans="13:76" ht="12.75">
      <c r="M164" s="5">
        <v>2.019E-08</v>
      </c>
      <c r="N164" s="5">
        <v>0.81393923319</v>
      </c>
      <c r="O164" s="5">
        <v>170.6728706192</v>
      </c>
      <c r="P164">
        <f t="shared" si="22"/>
        <v>-1.964979127225221E-08</v>
      </c>
      <c r="R164" s="5">
        <v>2.04E-09</v>
      </c>
      <c r="S164" s="5">
        <v>2.34615348695</v>
      </c>
      <c r="T164" s="5">
        <v>266.6070417218</v>
      </c>
      <c r="U164">
        <f t="shared" si="23"/>
        <v>1.6075924455065026E-09</v>
      </c>
      <c r="AQ164" s="5">
        <v>9.4E-10</v>
      </c>
      <c r="AR164" s="5">
        <v>5.00001709261</v>
      </c>
      <c r="AS164" s="5">
        <v>150192.214398004</v>
      </c>
      <c r="AT164">
        <f t="shared" si="25"/>
        <v>-4.372470177877352E-10</v>
      </c>
      <c r="BP164" s="5">
        <v>9.66E-09</v>
      </c>
      <c r="BQ164" s="5">
        <v>2.74714939953</v>
      </c>
      <c r="BR164" s="5">
        <v>6244.9428143536</v>
      </c>
      <c r="BS164">
        <f t="shared" si="26"/>
        <v>-6.056218549551362E-09</v>
      </c>
      <c r="BU164" s="5">
        <v>6.8E-10</v>
      </c>
      <c r="BV164" s="5">
        <v>3.88179770758</v>
      </c>
      <c r="BW164" s="5">
        <v>17260.1546546904</v>
      </c>
      <c r="BX164">
        <f t="shared" si="27"/>
        <v>-4.0156949260932335E-10</v>
      </c>
    </row>
    <row r="165" spans="13:76" ht="12.75">
      <c r="M165" s="5">
        <v>2.003E-08</v>
      </c>
      <c r="N165" s="5">
        <v>0.38091017375</v>
      </c>
      <c r="O165" s="5">
        <v>6172.869528772</v>
      </c>
      <c r="P165">
        <f t="shared" si="22"/>
        <v>1.4190247545165879E-08</v>
      </c>
      <c r="R165" s="5">
        <v>1.95E-09</v>
      </c>
      <c r="S165" s="5">
        <v>5.55015549753</v>
      </c>
      <c r="T165" s="5">
        <v>6133.5126528568</v>
      </c>
      <c r="U165">
        <f t="shared" si="23"/>
        <v>1.3392412157536624E-09</v>
      </c>
      <c r="AQ165" s="5">
        <v>7.7E-10</v>
      </c>
      <c r="AR165" s="5">
        <v>3.97199369296</v>
      </c>
      <c r="AS165" s="5">
        <v>1592.5960136328</v>
      </c>
      <c r="AT165">
        <f t="shared" si="25"/>
        <v>-2.5709492312321028E-11</v>
      </c>
      <c r="BP165" s="5">
        <v>9.21E-09</v>
      </c>
      <c r="BQ165" s="5">
        <v>0.10155275926</v>
      </c>
      <c r="BR165" s="5">
        <v>29088.811415985</v>
      </c>
      <c r="BS165">
        <f t="shared" si="26"/>
        <v>6.154474767839717E-09</v>
      </c>
      <c r="BU165" s="5">
        <v>8.4E-10</v>
      </c>
      <c r="BV165" s="5">
        <v>1.59303306354</v>
      </c>
      <c r="BW165" s="5">
        <v>9380.9596727172</v>
      </c>
      <c r="BX165">
        <f t="shared" si="27"/>
        <v>-7.16467657387735E-10</v>
      </c>
    </row>
    <row r="166" spans="13:76" ht="12.75">
      <c r="M166" s="5">
        <v>2.506E-08</v>
      </c>
      <c r="N166" s="5">
        <v>3.74379142438</v>
      </c>
      <c r="O166" s="5">
        <v>10575.4066829418</v>
      </c>
      <c r="P166">
        <f t="shared" si="22"/>
        <v>-2.2180320471211388E-09</v>
      </c>
      <c r="R166" s="5">
        <v>1.88E-09</v>
      </c>
      <c r="S166" s="5">
        <v>2.52667166175</v>
      </c>
      <c r="T166" s="5">
        <v>6525.8044539654</v>
      </c>
      <c r="U166">
        <f t="shared" si="23"/>
        <v>1.0472049819074135E-09</v>
      </c>
      <c r="AQ166" s="5">
        <v>1E-09</v>
      </c>
      <c r="AR166" s="5">
        <v>6.07733097102</v>
      </c>
      <c r="AS166" s="5">
        <v>26735.9452622132</v>
      </c>
      <c r="AT166">
        <f t="shared" si="25"/>
        <v>1.9245047906707687E-10</v>
      </c>
      <c r="BP166" s="5">
        <v>6.92E-09</v>
      </c>
      <c r="BQ166" s="5">
        <v>3.89764447548</v>
      </c>
      <c r="BR166" s="5">
        <v>1589.0728952838</v>
      </c>
      <c r="BS166">
        <f t="shared" si="26"/>
        <v>-1.0410023080121032E-09</v>
      </c>
      <c r="BU166" s="5">
        <v>8.8E-10</v>
      </c>
      <c r="BV166" s="5">
        <v>3.88076636762</v>
      </c>
      <c r="BW166" s="5">
        <v>7477.522860216</v>
      </c>
      <c r="BX166">
        <f t="shared" si="27"/>
        <v>1.0209981286503725E-10</v>
      </c>
    </row>
    <row r="167" spans="13:76" ht="12.75">
      <c r="M167" s="5">
        <v>2.381E-08</v>
      </c>
      <c r="N167" s="5">
        <v>0.10581361289</v>
      </c>
      <c r="O167" s="5">
        <v>7.046236698</v>
      </c>
      <c r="P167">
        <f t="shared" si="22"/>
        <v>2.337093864673779E-08</v>
      </c>
      <c r="R167" s="5">
        <v>1.85E-09</v>
      </c>
      <c r="S167" s="5">
        <v>0.90960768344</v>
      </c>
      <c r="T167" s="5">
        <v>18319.5365848796</v>
      </c>
      <c r="U167">
        <f t="shared" si="23"/>
        <v>1.7518677872074241E-09</v>
      </c>
      <c r="AQ167" s="5">
        <v>8.6E-10</v>
      </c>
      <c r="AR167" s="5">
        <v>5.2602963825</v>
      </c>
      <c r="AS167" s="5">
        <v>28313.288804661</v>
      </c>
      <c r="AT167">
        <f t="shared" si="25"/>
        <v>4.054881411031247E-10</v>
      </c>
      <c r="BP167" s="5">
        <v>7.19E-09</v>
      </c>
      <c r="BQ167" s="5">
        <v>5.91791450402</v>
      </c>
      <c r="BR167" s="5">
        <v>4136.9104335162</v>
      </c>
      <c r="BS167">
        <f t="shared" si="26"/>
        <v>7.087387889548873E-09</v>
      </c>
      <c r="BU167" s="5">
        <v>6.1E-10</v>
      </c>
      <c r="BV167" s="5">
        <v>6.17558202197</v>
      </c>
      <c r="BW167" s="5">
        <v>11087.2851259184</v>
      </c>
      <c r="BX167">
        <f t="shared" si="27"/>
        <v>-3.5376753047342593E-10</v>
      </c>
    </row>
    <row r="168" spans="13:76" ht="12.75">
      <c r="M168" s="5">
        <v>1.949E-08</v>
      </c>
      <c r="N168" s="5">
        <v>4.86892513469</v>
      </c>
      <c r="O168" s="5">
        <v>36.0278666774</v>
      </c>
      <c r="P168">
        <f t="shared" si="22"/>
        <v>1.0987929737433984E-08</v>
      </c>
      <c r="R168" s="5">
        <v>1.77E-09</v>
      </c>
      <c r="S168" s="5">
        <v>1.73429218289</v>
      </c>
      <c r="T168" s="5">
        <v>154717.609887682</v>
      </c>
      <c r="U168">
        <f t="shared" si="23"/>
        <v>-1.0264407239920455E-09</v>
      </c>
      <c r="AQ168" s="5">
        <v>9.3E-10</v>
      </c>
      <c r="AR168" s="5">
        <v>4.31900620254</v>
      </c>
      <c r="AS168" s="5">
        <v>44809.6502008634</v>
      </c>
      <c r="AT168">
        <f t="shared" si="25"/>
        <v>-7.032651260581758E-11</v>
      </c>
      <c r="BP168" s="5">
        <v>7.72E-09</v>
      </c>
      <c r="BQ168" s="5">
        <v>4.05505682353</v>
      </c>
      <c r="BR168" s="5">
        <v>6127.6554505572</v>
      </c>
      <c r="BS168">
        <f t="shared" si="26"/>
        <v>-5.59127972919839E-09</v>
      </c>
      <c r="BU168" s="5">
        <v>6E-10</v>
      </c>
      <c r="BV168" s="5">
        <v>4.34824715818</v>
      </c>
      <c r="BW168" s="5">
        <v>6206.8097787158</v>
      </c>
      <c r="BX168">
        <f t="shared" si="27"/>
        <v>2.6379611682450113E-10</v>
      </c>
    </row>
    <row r="169" spans="13:76" ht="12.75">
      <c r="M169" s="5">
        <v>2.074E-08</v>
      </c>
      <c r="N169" s="5">
        <v>4.2279477457</v>
      </c>
      <c r="O169" s="5">
        <v>5650.2921106782</v>
      </c>
      <c r="P169">
        <f t="shared" si="22"/>
        <v>-4.4399809173580254E-09</v>
      </c>
      <c r="R169" s="5">
        <v>1.87E-09</v>
      </c>
      <c r="S169" s="5">
        <v>4.76483647432</v>
      </c>
      <c r="T169" s="5">
        <v>4535.0594369244</v>
      </c>
      <c r="U169">
        <f t="shared" si="23"/>
        <v>-1.3507752002325272E-09</v>
      </c>
      <c r="AQ169" s="5">
        <v>7.6E-10</v>
      </c>
      <c r="AR169" s="5">
        <v>6.22743405935</v>
      </c>
      <c r="AS169" s="5">
        <v>13521.7514415914</v>
      </c>
      <c r="AT169">
        <f t="shared" si="25"/>
        <v>-6.604866074234018E-10</v>
      </c>
      <c r="BP169" s="5">
        <v>7.12E-09</v>
      </c>
      <c r="BQ169" s="5">
        <v>5.49291532439</v>
      </c>
      <c r="BR169" s="5">
        <v>22003.9146348698</v>
      </c>
      <c r="BS169">
        <f t="shared" si="26"/>
        <v>5.129371706696184E-09</v>
      </c>
      <c r="BU169" s="5">
        <v>8.2E-10</v>
      </c>
      <c r="BV169" s="5">
        <v>4.59843208943</v>
      </c>
      <c r="BW169" s="5">
        <v>9388.0059094152</v>
      </c>
      <c r="BX169">
        <f t="shared" si="27"/>
        <v>7.197981218071619E-10</v>
      </c>
    </row>
    <row r="170" spans="13:76" ht="12.75">
      <c r="M170" s="5">
        <v>1.924E-08</v>
      </c>
      <c r="N170" s="5">
        <v>5.5946054986</v>
      </c>
      <c r="O170" s="5">
        <v>6282.0955289232</v>
      </c>
      <c r="P170">
        <f t="shared" si="22"/>
        <v>9.485239004213784E-09</v>
      </c>
      <c r="R170" s="5">
        <v>1.86E-09</v>
      </c>
      <c r="S170" s="5">
        <v>4.63080493407</v>
      </c>
      <c r="T170" s="5">
        <v>10440.2742926036</v>
      </c>
      <c r="U170">
        <f t="shared" si="23"/>
        <v>1.1749603182330163E-09</v>
      </c>
      <c r="AQ170" s="5">
        <v>7.2E-10</v>
      </c>
      <c r="AR170" s="5">
        <v>1.55820597747</v>
      </c>
      <c r="AS170" s="5">
        <v>6256.7775301916</v>
      </c>
      <c r="AT170">
        <f t="shared" si="25"/>
        <v>-7.118680922016997E-10</v>
      </c>
      <c r="BP170" s="5">
        <v>6.72E-09</v>
      </c>
      <c r="BQ170" s="5">
        <v>1.60700490811</v>
      </c>
      <c r="BR170" s="5">
        <v>11087.2851259184</v>
      </c>
      <c r="BS170">
        <f t="shared" si="26"/>
        <v>5.976503461012814E-09</v>
      </c>
      <c r="BU170" s="5">
        <v>7.9E-10</v>
      </c>
      <c r="BV170" s="5">
        <v>1.63131230601</v>
      </c>
      <c r="BW170" s="5">
        <v>4933.2084403326</v>
      </c>
      <c r="BX170">
        <f t="shared" si="27"/>
        <v>6.418783812432934E-10</v>
      </c>
    </row>
    <row r="171" spans="13:76" ht="12.75">
      <c r="M171" s="5">
        <v>1.949E-08</v>
      </c>
      <c r="N171" s="5">
        <v>1.07002512703</v>
      </c>
      <c r="O171" s="5">
        <v>5230.807466803</v>
      </c>
      <c r="P171">
        <f t="shared" si="22"/>
        <v>-1.5266722391105758E-08</v>
      </c>
      <c r="R171" s="5">
        <v>2.15E-09</v>
      </c>
      <c r="S171" s="5">
        <v>2.8125545456</v>
      </c>
      <c r="T171" s="5">
        <v>7342.4577801806</v>
      </c>
      <c r="U171">
        <f t="shared" si="23"/>
        <v>6.323722508684394E-10</v>
      </c>
      <c r="AQ171" s="5">
        <v>8.2E-10</v>
      </c>
      <c r="AR171" s="5">
        <v>4.95202664555</v>
      </c>
      <c r="AS171" s="5">
        <v>10575.4066829418</v>
      </c>
      <c r="AT171">
        <f t="shared" si="25"/>
        <v>-7.894250734872961E-10</v>
      </c>
      <c r="BP171" s="5">
        <v>6.9E-09</v>
      </c>
      <c r="BQ171" s="5">
        <v>4.50539825563</v>
      </c>
      <c r="BR171" s="5">
        <v>426.598190876</v>
      </c>
      <c r="BS171">
        <f t="shared" si="26"/>
        <v>-6.551662230073487E-09</v>
      </c>
      <c r="BU171" s="5">
        <v>7.8E-10</v>
      </c>
      <c r="BV171" s="5">
        <v>4.20905757484</v>
      </c>
      <c r="BW171" s="5">
        <v>5729.506447149</v>
      </c>
      <c r="BX171">
        <f t="shared" si="27"/>
        <v>5.248422072294835E-10</v>
      </c>
    </row>
    <row r="172" spans="13:76" ht="12.75">
      <c r="M172" s="5">
        <v>1.988E-08</v>
      </c>
      <c r="N172" s="5">
        <v>5.19736046771</v>
      </c>
      <c r="O172" s="5">
        <v>6262.300454499</v>
      </c>
      <c r="P172">
        <f t="shared" si="22"/>
        <v>1.8192956767442584E-08</v>
      </c>
      <c r="R172" s="5">
        <v>1.72E-09</v>
      </c>
      <c r="S172" s="5">
        <v>1.45551888559</v>
      </c>
      <c r="T172" s="5">
        <v>9225.539273283</v>
      </c>
      <c r="U172">
        <f t="shared" si="23"/>
        <v>-1.2712906189487128E-10</v>
      </c>
      <c r="AQ172" s="5">
        <v>8.2E-10</v>
      </c>
      <c r="AR172" s="5">
        <v>1.69647647075</v>
      </c>
      <c r="AS172" s="5">
        <v>1990.745017041</v>
      </c>
      <c r="AT172">
        <f t="shared" si="25"/>
        <v>4.365213175979133E-10</v>
      </c>
      <c r="BP172" s="5">
        <v>8.54E-09</v>
      </c>
      <c r="BQ172" s="5">
        <v>3.26104981596</v>
      </c>
      <c r="BR172" s="5">
        <v>20426.571092422</v>
      </c>
      <c r="BS172">
        <f t="shared" si="26"/>
        <v>-7.942242193183114E-09</v>
      </c>
      <c r="BU172" s="5">
        <v>5.7E-10</v>
      </c>
      <c r="BV172" s="5">
        <v>5.48157926651</v>
      </c>
      <c r="BW172" s="5">
        <v>18319.5365848796</v>
      </c>
      <c r="BX172">
        <f t="shared" si="27"/>
        <v>-2.569184180299302E-10</v>
      </c>
    </row>
    <row r="173" spans="13:76" ht="12.75">
      <c r="M173" s="5">
        <v>1.887E-08</v>
      </c>
      <c r="N173" s="5">
        <v>3.74365662683</v>
      </c>
      <c r="O173" s="5">
        <v>23.8784377478</v>
      </c>
      <c r="P173">
        <f t="shared" si="22"/>
        <v>-1.17993679982566E-08</v>
      </c>
      <c r="R173" s="5">
        <v>1.62E-09</v>
      </c>
      <c r="S173" s="5">
        <v>3.30661909388</v>
      </c>
      <c r="T173" s="5">
        <v>639.897286314</v>
      </c>
      <c r="U173">
        <f t="shared" si="23"/>
        <v>2.721166641276514E-10</v>
      </c>
      <c r="AQ173" s="5">
        <v>7.5E-10</v>
      </c>
      <c r="AR173" s="5">
        <v>2.29836095644</v>
      </c>
      <c r="AS173" s="5">
        <v>3634.6210245184</v>
      </c>
      <c r="AT173">
        <f t="shared" si="25"/>
        <v>-7.359919129385108E-10</v>
      </c>
      <c r="BP173" s="5">
        <v>6.56E-09</v>
      </c>
      <c r="BQ173" s="5">
        <v>4.3241018294</v>
      </c>
      <c r="BR173" s="5">
        <v>16858.4825329332</v>
      </c>
      <c r="BS173">
        <f t="shared" si="26"/>
        <v>-4.309625792985043E-09</v>
      </c>
      <c r="BU173" s="5">
        <v>6E-10</v>
      </c>
      <c r="BV173" s="5">
        <v>1.01261781084</v>
      </c>
      <c r="BW173" s="5">
        <v>12721.572099417</v>
      </c>
      <c r="BX173">
        <f t="shared" si="27"/>
        <v>5.932883694670156E-10</v>
      </c>
    </row>
    <row r="174" spans="13:76" ht="12.75">
      <c r="M174" s="5">
        <v>1.787E-08</v>
      </c>
      <c r="N174" s="5">
        <v>1.25929682929</v>
      </c>
      <c r="O174" s="5">
        <v>12559.038152982</v>
      </c>
      <c r="P174">
        <f t="shared" si="22"/>
        <v>-5.123573398320908E-10</v>
      </c>
      <c r="R174" s="5">
        <v>1.68E-09</v>
      </c>
      <c r="S174" s="5">
        <v>2.17671416605</v>
      </c>
      <c r="T174" s="5">
        <v>27.4015560968</v>
      </c>
      <c r="U174">
        <f t="shared" si="23"/>
        <v>-1.359071674713724E-09</v>
      </c>
      <c r="AQ174" s="5">
        <v>7.5E-10</v>
      </c>
      <c r="AR174" s="5">
        <v>2.66367876557</v>
      </c>
      <c r="AS174" s="5">
        <v>16200.7727245012</v>
      </c>
      <c r="AT174">
        <f t="shared" si="25"/>
        <v>6.425408278500302E-10</v>
      </c>
      <c r="BP174" s="5">
        <v>8.4E-09</v>
      </c>
      <c r="BQ174" s="5">
        <v>2.59572585222</v>
      </c>
      <c r="BR174" s="5">
        <v>28766.924424484</v>
      </c>
      <c r="BS174">
        <f t="shared" si="26"/>
        <v>-5.580737208955023E-09</v>
      </c>
      <c r="BU174" s="5">
        <v>5.6E-10</v>
      </c>
      <c r="BV174" s="5">
        <v>1.63031935692</v>
      </c>
      <c r="BW174" s="5">
        <v>15720.8387848784</v>
      </c>
      <c r="BX174">
        <f t="shared" si="27"/>
        <v>5.571071971666831E-10</v>
      </c>
    </row>
    <row r="175" spans="13:76" ht="12.75">
      <c r="M175" s="5">
        <v>1.883E-08</v>
      </c>
      <c r="N175" s="5">
        <v>1.90364058477</v>
      </c>
      <c r="O175" s="5">
        <v>15.252471185</v>
      </c>
      <c r="P175">
        <f t="shared" si="22"/>
        <v>-9.35853403664718E-09</v>
      </c>
      <c r="R175" s="5">
        <v>1.6E-09</v>
      </c>
      <c r="S175" s="5">
        <v>1.68164180475</v>
      </c>
      <c r="T175" s="5">
        <v>15110.4661198662</v>
      </c>
      <c r="U175">
        <f t="shared" si="23"/>
        <v>4.857172771795102E-10</v>
      </c>
      <c r="AQ175" s="5">
        <v>8.7E-10</v>
      </c>
      <c r="AR175" s="5">
        <v>0.26630214764</v>
      </c>
      <c r="AS175" s="5">
        <v>31441.6775697568</v>
      </c>
      <c r="AT175">
        <f t="shared" si="25"/>
        <v>-8.686304007942407E-10</v>
      </c>
      <c r="BP175" s="5">
        <v>6.92E-09</v>
      </c>
      <c r="BQ175" s="5">
        <v>0.61650089011</v>
      </c>
      <c r="BR175" s="5">
        <v>11403.676995575</v>
      </c>
      <c r="BS175">
        <f t="shared" si="26"/>
        <v>-5.1944572876891655E-09</v>
      </c>
      <c r="BU175" s="5">
        <v>5.5E-10</v>
      </c>
      <c r="BV175" s="5">
        <v>0.24926735018</v>
      </c>
      <c r="BW175" s="5">
        <v>15110.4661198662</v>
      </c>
      <c r="BX175">
        <f t="shared" si="27"/>
        <v>-4.959940362768218E-10</v>
      </c>
    </row>
    <row r="176" spans="13:76" ht="12.75">
      <c r="M176" s="5">
        <v>1.816E-08</v>
      </c>
      <c r="N176" s="5">
        <v>3.68083868442</v>
      </c>
      <c r="O176" s="5">
        <v>15110.4661198662</v>
      </c>
      <c r="P176">
        <f t="shared" si="22"/>
        <v>1.344920105964881E-08</v>
      </c>
      <c r="R176" s="5">
        <v>1.58E-09</v>
      </c>
      <c r="S176" s="5">
        <v>0.13519771874</v>
      </c>
      <c r="T176" s="5">
        <v>13095.8426650774</v>
      </c>
      <c r="U176">
        <f t="shared" si="23"/>
        <v>-1.1809304493699995E-09</v>
      </c>
      <c r="AQ176" s="5">
        <v>7.7E-10</v>
      </c>
      <c r="AR176" s="5">
        <v>2.25530954137</v>
      </c>
      <c r="AS176" s="5">
        <v>5235.3285382367</v>
      </c>
      <c r="AT176">
        <f t="shared" si="25"/>
        <v>-6.482724668197237E-10</v>
      </c>
      <c r="BP176" s="5">
        <v>7E-09</v>
      </c>
      <c r="BQ176" s="5">
        <v>3.40901167143</v>
      </c>
      <c r="BR176" s="5">
        <v>7.1135470008</v>
      </c>
      <c r="BS176">
        <f t="shared" si="26"/>
        <v>-6.564082342213513E-09</v>
      </c>
      <c r="BU176" s="5">
        <v>6.1E-10</v>
      </c>
      <c r="BV176" s="5">
        <v>5.93059279661</v>
      </c>
      <c r="BW176" s="5">
        <v>12539.853380183</v>
      </c>
      <c r="BX176">
        <f t="shared" si="27"/>
        <v>-5.817823057483454E-10</v>
      </c>
    </row>
    <row r="177" spans="13:76" ht="12.75">
      <c r="M177" s="5">
        <v>1.701E-08</v>
      </c>
      <c r="N177" s="5">
        <v>4.4110589538</v>
      </c>
      <c r="O177" s="5">
        <v>110.2063212194</v>
      </c>
      <c r="P177">
        <f t="shared" si="22"/>
        <v>1.4771492011681954E-08</v>
      </c>
      <c r="R177" s="5">
        <v>1.83E-09</v>
      </c>
      <c r="S177" s="5">
        <v>0.56281322071</v>
      </c>
      <c r="T177" s="5">
        <v>13517.8701062334</v>
      </c>
      <c r="U177">
        <f t="shared" si="23"/>
        <v>-1.8273906298979143E-09</v>
      </c>
      <c r="AQ177" s="5">
        <v>7.6E-10</v>
      </c>
      <c r="AR177" s="5">
        <v>1.09869730846</v>
      </c>
      <c r="AS177" s="5">
        <v>12903.9659631792</v>
      </c>
      <c r="AT177">
        <f t="shared" si="25"/>
        <v>-5.975576457379097E-10</v>
      </c>
      <c r="BP177" s="5">
        <v>7.26E-09</v>
      </c>
      <c r="BQ177" s="5">
        <v>0.04243053594</v>
      </c>
      <c r="BR177" s="5">
        <v>5481.2549188676</v>
      </c>
      <c r="BS177">
        <f t="shared" si="26"/>
        <v>-1.398205088605909E-09</v>
      </c>
      <c r="BU177" s="5">
        <v>5.5E-10</v>
      </c>
      <c r="BV177" s="5">
        <v>4.84298966314</v>
      </c>
      <c r="BW177" s="5">
        <v>13095.8426650774</v>
      </c>
      <c r="BX177">
        <f t="shared" si="27"/>
        <v>-3.63497200469833E-10</v>
      </c>
    </row>
    <row r="178" spans="13:76" ht="12.75">
      <c r="M178" s="5">
        <v>1.99E-08</v>
      </c>
      <c r="N178" s="5">
        <v>3.93295788548</v>
      </c>
      <c r="O178" s="5">
        <v>6206.8097787158</v>
      </c>
      <c r="P178">
        <f t="shared" si="22"/>
        <v>7.94416392818106E-10</v>
      </c>
      <c r="R178" s="5">
        <v>1.79E-09</v>
      </c>
      <c r="S178" s="5">
        <v>3.58450811616</v>
      </c>
      <c r="T178" s="5">
        <v>87.30820453981</v>
      </c>
      <c r="U178">
        <f t="shared" si="23"/>
        <v>-9.976723640126152E-11</v>
      </c>
      <c r="AQ178" s="5">
        <v>5.8E-10</v>
      </c>
      <c r="AR178" s="5">
        <v>4.28246138307</v>
      </c>
      <c r="AS178" s="5">
        <v>12559.038152982</v>
      </c>
      <c r="AT178">
        <f t="shared" si="25"/>
        <v>8.501259079444629E-11</v>
      </c>
      <c r="BP178" s="5">
        <v>5.57E-09</v>
      </c>
      <c r="BQ178" s="5">
        <v>4.78317696534</v>
      </c>
      <c r="BR178" s="5">
        <v>20199.094959633</v>
      </c>
      <c r="BS178">
        <f t="shared" si="26"/>
        <v>4.2723771907664E-10</v>
      </c>
      <c r="BU178" s="5">
        <v>6.7E-10</v>
      </c>
      <c r="BV178" s="5">
        <v>6.11690589247</v>
      </c>
      <c r="BW178" s="5">
        <v>8662.240323563</v>
      </c>
      <c r="BX178">
        <f t="shared" si="27"/>
        <v>5.487942678945333E-10</v>
      </c>
    </row>
    <row r="179" spans="13:76" ht="12.75">
      <c r="M179" s="5">
        <v>2.103E-08</v>
      </c>
      <c r="N179" s="5">
        <v>0.75354917468</v>
      </c>
      <c r="O179" s="5">
        <v>13521.7514415914</v>
      </c>
      <c r="P179">
        <f t="shared" si="22"/>
        <v>-2.014097655549231E-08</v>
      </c>
      <c r="R179" s="5">
        <v>1.52E-09</v>
      </c>
      <c r="S179" s="5">
        <v>2.84070476818</v>
      </c>
      <c r="T179" s="5">
        <v>5650.2921106782</v>
      </c>
      <c r="U179">
        <f t="shared" si="23"/>
        <v>-1.5192123310669896E-09</v>
      </c>
      <c r="AQ179" s="5">
        <v>6.4E-10</v>
      </c>
      <c r="AR179" s="5">
        <v>5.51112830114</v>
      </c>
      <c r="AS179" s="5">
        <v>173904.651700853</v>
      </c>
      <c r="AT179">
        <f t="shared" si="25"/>
        <v>4.9591839641576515E-12</v>
      </c>
      <c r="BP179" s="5">
        <v>6.49E-09</v>
      </c>
      <c r="BQ179" s="5">
        <v>1.04027912958</v>
      </c>
      <c r="BR179" s="5">
        <v>6062.6632075526</v>
      </c>
      <c r="BS179">
        <f t="shared" si="26"/>
        <v>6.463984218579347E-09</v>
      </c>
      <c r="BU179" s="5">
        <v>5.4E-10</v>
      </c>
      <c r="BV179" s="5">
        <v>5.73750638571</v>
      </c>
      <c r="BW179" s="5">
        <v>3634.6210245184</v>
      </c>
      <c r="BX179">
        <f t="shared" si="27"/>
        <v>5.370836269264107E-10</v>
      </c>
    </row>
    <row r="180" spans="13:76" ht="12.75">
      <c r="M180" s="5">
        <v>1.774E-08</v>
      </c>
      <c r="N180" s="5">
        <v>0.48747535361</v>
      </c>
      <c r="O180" s="5">
        <v>1551.045222648</v>
      </c>
      <c r="P180">
        <f t="shared" si="22"/>
        <v>1.3746659160917994E-08</v>
      </c>
      <c r="R180" s="5">
        <v>1.82E-09</v>
      </c>
      <c r="S180" s="5">
        <v>0.44065530624</v>
      </c>
      <c r="T180" s="5">
        <v>17253.0411076895</v>
      </c>
      <c r="U180">
        <f t="shared" si="23"/>
        <v>4.4115273977817935E-10</v>
      </c>
      <c r="AQ180" s="5">
        <v>5.6E-10</v>
      </c>
      <c r="AR180" s="5">
        <v>2.60133794851</v>
      </c>
      <c r="AS180" s="5">
        <v>73188.3759784421</v>
      </c>
      <c r="AT180">
        <f t="shared" si="25"/>
        <v>-5.338961875511658E-10</v>
      </c>
      <c r="BP180" s="5">
        <v>6.33E-09</v>
      </c>
      <c r="BQ180" s="5">
        <v>5.70229959167</v>
      </c>
      <c r="BR180" s="5">
        <v>45892.7304331569</v>
      </c>
      <c r="BS180">
        <f t="shared" si="26"/>
        <v>-5.1456342176748324E-09</v>
      </c>
      <c r="BU180" s="5">
        <v>7.4E-10</v>
      </c>
      <c r="BV180" s="5">
        <v>1.05466745829</v>
      </c>
      <c r="BW180" s="5">
        <v>16460.3335295249</v>
      </c>
      <c r="BX180">
        <f t="shared" si="27"/>
        <v>-3.8642989902804773E-10</v>
      </c>
    </row>
    <row r="181" spans="13:76" ht="12.75">
      <c r="M181" s="5">
        <v>1.882E-08</v>
      </c>
      <c r="N181" s="5">
        <v>0.86684493432</v>
      </c>
      <c r="O181" s="5">
        <v>22003.9146348698</v>
      </c>
      <c r="P181">
        <f t="shared" si="22"/>
        <v>1.1834964707565852E-08</v>
      </c>
      <c r="R181" s="5">
        <v>1.6E-09</v>
      </c>
      <c r="S181" s="5">
        <v>5.95767264171</v>
      </c>
      <c r="T181" s="5">
        <v>4701.1165017084</v>
      </c>
      <c r="U181">
        <f t="shared" si="23"/>
        <v>1.0511728089216765E-09</v>
      </c>
      <c r="AQ181" s="5">
        <v>5.5E-10</v>
      </c>
      <c r="AR181" s="5">
        <v>5.81483150022</v>
      </c>
      <c r="AS181" s="5">
        <v>143233.51002162</v>
      </c>
      <c r="AT181">
        <f t="shared" si="25"/>
        <v>3.419830369115154E-10</v>
      </c>
      <c r="BP181" s="5">
        <v>5.92E-09</v>
      </c>
      <c r="BQ181" s="5">
        <v>6.11836729658</v>
      </c>
      <c r="BR181" s="5">
        <v>9623.6882766912</v>
      </c>
      <c r="BS181">
        <f t="shared" si="26"/>
        <v>1.1830211716618643E-09</v>
      </c>
      <c r="BU181" s="5">
        <v>5.3E-10</v>
      </c>
      <c r="BV181" s="5">
        <v>2.29084335688</v>
      </c>
      <c r="BW181" s="5">
        <v>16062.1845261168</v>
      </c>
      <c r="BX181">
        <f t="shared" si="27"/>
        <v>2.0167531722842037E-11</v>
      </c>
    </row>
    <row r="182" spans="13:76" ht="12.75">
      <c r="M182" s="5">
        <v>1.924E-08</v>
      </c>
      <c r="N182" s="5">
        <v>1.22898324132</v>
      </c>
      <c r="O182" s="5">
        <v>709.9330485583</v>
      </c>
      <c r="P182">
        <f t="shared" si="22"/>
        <v>-1.6678167524507897E-08</v>
      </c>
      <c r="R182" s="5">
        <v>1.42E-09</v>
      </c>
      <c r="S182" s="5">
        <v>1.4629013752</v>
      </c>
      <c r="T182" s="5">
        <v>11087.2851259184</v>
      </c>
      <c r="U182">
        <f t="shared" si="23"/>
        <v>1.1565689617536212E-09</v>
      </c>
      <c r="AQ182" s="5">
        <v>5.4E-10</v>
      </c>
      <c r="AR182" s="5">
        <v>3.38482031504</v>
      </c>
      <c r="AS182" s="5">
        <v>323049.118787102</v>
      </c>
      <c r="AT182">
        <f t="shared" si="25"/>
        <v>4.2949213026989007E-10</v>
      </c>
      <c r="BP182" s="5">
        <v>5.23E-09</v>
      </c>
      <c r="BQ182" s="5">
        <v>3.62840021266</v>
      </c>
      <c r="BR182" s="5">
        <v>5333.9002410216</v>
      </c>
      <c r="BS182">
        <f t="shared" si="26"/>
        <v>5.229629371695167E-09</v>
      </c>
      <c r="BU182" s="5">
        <v>6.4E-10</v>
      </c>
      <c r="BV182" s="5">
        <v>2.13513767927</v>
      </c>
      <c r="BW182" s="5">
        <v>7875.6718636242</v>
      </c>
      <c r="BX182">
        <f t="shared" si="27"/>
        <v>-7.303525278120133E-11</v>
      </c>
    </row>
    <row r="183" spans="13:76" ht="12.75">
      <c r="M183" s="5">
        <v>2.009E-08</v>
      </c>
      <c r="N183" s="5">
        <v>4.6285092198</v>
      </c>
      <c r="O183" s="5">
        <v>6037.244203762</v>
      </c>
      <c r="P183">
        <f t="shared" si="22"/>
        <v>-1.958777753454544E-08</v>
      </c>
      <c r="R183" s="5">
        <v>1.42E-09</v>
      </c>
      <c r="S183" s="5">
        <v>2.04464036087</v>
      </c>
      <c r="T183" s="5">
        <v>20426.571092422</v>
      </c>
      <c r="U183">
        <f t="shared" si="23"/>
        <v>3.1213585233293486E-11</v>
      </c>
      <c r="AQ183" s="5">
        <v>3.9E-10</v>
      </c>
      <c r="AR183" s="5">
        <v>3.28500401343</v>
      </c>
      <c r="AS183" s="5">
        <v>71768.5098813254</v>
      </c>
      <c r="AT183">
        <f t="shared" si="25"/>
        <v>8.526374165461031E-11</v>
      </c>
      <c r="BP183" s="5">
        <v>6.04E-09</v>
      </c>
      <c r="BQ183" s="5">
        <v>5.57734696185</v>
      </c>
      <c r="BR183" s="5">
        <v>10344.2950653858</v>
      </c>
      <c r="BS183">
        <f t="shared" si="26"/>
        <v>4.790002398365228E-09</v>
      </c>
      <c r="BU183" s="5">
        <v>6.7E-10</v>
      </c>
      <c r="BV183" s="5">
        <v>0.07096807518</v>
      </c>
      <c r="BW183" s="5">
        <v>14945.3161735544</v>
      </c>
      <c r="BX183">
        <f t="shared" si="27"/>
        <v>1.2563229881051774E-10</v>
      </c>
    </row>
    <row r="184" spans="13:76" ht="12.75">
      <c r="M184" s="5">
        <v>1.924E-08</v>
      </c>
      <c r="N184" s="5">
        <v>0.60231842508</v>
      </c>
      <c r="O184" s="5">
        <v>6284.0561710596</v>
      </c>
      <c r="P184">
        <f t="shared" si="22"/>
        <v>-1.3794483542162512E-08</v>
      </c>
      <c r="R184" s="5">
        <v>1.31E-09</v>
      </c>
      <c r="S184" s="5">
        <v>5.40912137746</v>
      </c>
      <c r="T184" s="5">
        <v>2699.7348193176</v>
      </c>
      <c r="U184">
        <f t="shared" si="23"/>
        <v>8.528385403562322E-10</v>
      </c>
      <c r="AQ184" s="5">
        <v>3.9E-10</v>
      </c>
      <c r="AR184" s="5">
        <v>3.1123991069</v>
      </c>
      <c r="AS184" s="5">
        <v>96900.813281291</v>
      </c>
      <c r="AT184">
        <f t="shared" si="25"/>
        <v>2.765302135610965E-10</v>
      </c>
      <c r="BP184" s="5">
        <v>4.96E-09</v>
      </c>
      <c r="BQ184" s="5">
        <v>2.21023499449</v>
      </c>
      <c r="BR184" s="5">
        <v>1990.745017041</v>
      </c>
      <c r="BS184">
        <f t="shared" si="26"/>
        <v>2.3604399827616395E-10</v>
      </c>
      <c r="BU184" s="5">
        <v>5.1E-10</v>
      </c>
      <c r="BV184" s="5">
        <v>2.31511194429</v>
      </c>
      <c r="BW184" s="5">
        <v>6262.7205305926</v>
      </c>
      <c r="BX184">
        <f t="shared" si="27"/>
        <v>-3.9673933541928214E-10</v>
      </c>
    </row>
    <row r="185" spans="13:76" ht="12.75">
      <c r="M185" s="5">
        <v>1.596E-08</v>
      </c>
      <c r="N185" s="5">
        <v>3.98332956992</v>
      </c>
      <c r="O185" s="5">
        <v>13916.0191096416</v>
      </c>
      <c r="P185">
        <f t="shared" si="22"/>
        <v>7.778519414845905E-09</v>
      </c>
      <c r="R185" s="5">
        <v>1.44E-09</v>
      </c>
      <c r="S185" s="5">
        <v>2.07312090485</v>
      </c>
      <c r="T185" s="5">
        <v>25158.6017197654</v>
      </c>
      <c r="U185">
        <f t="shared" si="23"/>
        <v>-1.4399806465737495E-09</v>
      </c>
      <c r="BP185" s="5">
        <v>6.91E-09</v>
      </c>
      <c r="BQ185" s="5">
        <v>1.96071732602</v>
      </c>
      <c r="BR185" s="5">
        <v>12416.5885028482</v>
      </c>
      <c r="BS185">
        <f t="shared" si="26"/>
        <v>-6.0828583803836576E-09</v>
      </c>
      <c r="BU185" s="5">
        <v>5.7E-10</v>
      </c>
      <c r="BV185" s="5">
        <v>5.77055471237</v>
      </c>
      <c r="BW185" s="5">
        <v>12043.574281889</v>
      </c>
      <c r="BX185">
        <f t="shared" si="27"/>
        <v>-5.483731951569829E-10</v>
      </c>
    </row>
    <row r="186" spans="13:76" ht="12.75">
      <c r="M186" s="5">
        <v>1.664E-08</v>
      </c>
      <c r="N186" s="5">
        <v>4.41939715469</v>
      </c>
      <c r="O186" s="5">
        <v>8662.240323563</v>
      </c>
      <c r="P186">
        <f t="shared" si="22"/>
        <v>-1.1191556689096293E-08</v>
      </c>
      <c r="R186" s="5">
        <v>1.47E-09</v>
      </c>
      <c r="S186" s="5">
        <v>6.15106982168</v>
      </c>
      <c r="T186" s="5">
        <v>9623.6882766912</v>
      </c>
      <c r="U186">
        <f t="shared" si="23"/>
        <v>3.4069455273586906E-10</v>
      </c>
      <c r="BP186" s="5">
        <v>6.4E-09</v>
      </c>
      <c r="BQ186" s="5">
        <v>1.59074172032</v>
      </c>
      <c r="BR186" s="5">
        <v>18319.5365848796</v>
      </c>
      <c r="BS186">
        <f t="shared" si="26"/>
        <v>6.003239130900618E-09</v>
      </c>
      <c r="BU186" s="5">
        <v>5.6E-10</v>
      </c>
      <c r="BV186" s="5">
        <v>4.41980790431</v>
      </c>
      <c r="BW186" s="5">
        <v>4701.1165017084</v>
      </c>
      <c r="BX186">
        <f t="shared" si="27"/>
        <v>4.340717950545094E-10</v>
      </c>
    </row>
    <row r="187" spans="13:76" ht="12.75">
      <c r="M187" s="5">
        <v>1.971E-08</v>
      </c>
      <c r="N187" s="5">
        <v>1.04560500503</v>
      </c>
      <c r="O187" s="5">
        <v>18209.3302636601</v>
      </c>
      <c r="P187">
        <f t="shared" si="22"/>
        <v>5.188276078972509E-10</v>
      </c>
      <c r="R187" s="5">
        <v>1.41E-09</v>
      </c>
      <c r="S187" s="5">
        <v>5.55739979498</v>
      </c>
      <c r="T187" s="5">
        <v>10454.5013866052</v>
      </c>
      <c r="U187">
        <f t="shared" si="23"/>
        <v>-5.717938114601619E-10</v>
      </c>
      <c r="BP187" s="5">
        <v>6.25E-09</v>
      </c>
      <c r="BQ187" s="5">
        <v>3.82362791378</v>
      </c>
      <c r="BR187" s="5">
        <v>13517.8701062334</v>
      </c>
      <c r="BS187">
        <f t="shared" si="26"/>
        <v>6.1571021725647745E-09</v>
      </c>
      <c r="BU187" s="5">
        <v>5.9E-10</v>
      </c>
      <c r="BV187" s="5">
        <v>5.87963500073</v>
      </c>
      <c r="BW187" s="5">
        <v>5331.3574437408</v>
      </c>
      <c r="BX187">
        <f t="shared" si="27"/>
        <v>-3.6226024280689853E-10</v>
      </c>
    </row>
    <row r="188" spans="13:76" ht="12.75">
      <c r="M188" s="5">
        <v>1.942E-08</v>
      </c>
      <c r="N188" s="5">
        <v>4.31335979989</v>
      </c>
      <c r="O188" s="5">
        <v>6244.9428143536</v>
      </c>
      <c r="P188">
        <f t="shared" si="22"/>
        <v>1.5073533881546952E-08</v>
      </c>
      <c r="R188" s="5">
        <v>1.35E-09</v>
      </c>
      <c r="S188" s="5">
        <v>0.06098110407</v>
      </c>
      <c r="T188" s="5">
        <v>16723.350142595</v>
      </c>
      <c r="U188">
        <f t="shared" si="23"/>
        <v>-4.706261772490837E-10</v>
      </c>
      <c r="BP188" s="5">
        <v>6.63E-09</v>
      </c>
      <c r="BQ188" s="5">
        <v>5.08444996779</v>
      </c>
      <c r="BR188" s="5">
        <v>283.8593188652</v>
      </c>
      <c r="BS188">
        <f t="shared" si="26"/>
        <v>-4.352585588324136E-09</v>
      </c>
      <c r="BU188" s="5">
        <v>5.8E-10</v>
      </c>
      <c r="BV188" s="5">
        <v>2.30546168628</v>
      </c>
      <c r="BW188" s="5">
        <v>955.5997416086</v>
      </c>
      <c r="BX188">
        <f t="shared" si="27"/>
        <v>5.6318580413930976E-11</v>
      </c>
    </row>
    <row r="189" spans="13:76" ht="12.75">
      <c r="M189" s="5">
        <v>1.476E-08</v>
      </c>
      <c r="N189" s="5">
        <v>0.93271367331</v>
      </c>
      <c r="O189" s="5">
        <v>2379.1644735716</v>
      </c>
      <c r="P189">
        <f t="shared" si="22"/>
        <v>4.403342362492741E-09</v>
      </c>
      <c r="R189" s="5">
        <v>1.24E-09</v>
      </c>
      <c r="S189" s="5">
        <v>5.81218025669</v>
      </c>
      <c r="T189" s="5">
        <v>17256.6315363414</v>
      </c>
      <c r="U189">
        <f t="shared" si="23"/>
        <v>-7.232469785825089E-10</v>
      </c>
      <c r="BP189" s="5">
        <v>4.75E-09</v>
      </c>
      <c r="BQ189" s="5">
        <v>1.17025894287</v>
      </c>
      <c r="BR189" s="5">
        <v>12569.6748183318</v>
      </c>
      <c r="BS189">
        <f t="shared" si="26"/>
        <v>6.128077534866504E-11</v>
      </c>
      <c r="BU189" s="5">
        <v>4.9E-10</v>
      </c>
      <c r="BV189" s="5">
        <v>1.93839278478</v>
      </c>
      <c r="BW189" s="5">
        <v>5333.9002410216</v>
      </c>
      <c r="BX189">
        <f t="shared" si="27"/>
        <v>-5.2479053082323786E-11</v>
      </c>
    </row>
    <row r="190" spans="13:76" ht="12.75">
      <c r="M190" s="5">
        <v>1.81E-08</v>
      </c>
      <c r="N190" s="5">
        <v>0.49112137707</v>
      </c>
      <c r="O190" s="5">
        <v>1.4844727083</v>
      </c>
      <c r="P190">
        <f t="shared" si="22"/>
        <v>1.580241376366815E-08</v>
      </c>
      <c r="R190" s="5">
        <v>1.24E-09</v>
      </c>
      <c r="S190" s="5">
        <v>2.36293551623</v>
      </c>
      <c r="T190" s="5">
        <v>4933.2084403326</v>
      </c>
      <c r="U190">
        <f t="shared" si="23"/>
        <v>1.232605677534641E-09</v>
      </c>
      <c r="BP190" s="5">
        <v>6.64E-09</v>
      </c>
      <c r="BQ190" s="5">
        <v>4.50029469969</v>
      </c>
      <c r="BR190" s="5">
        <v>47162.5163546352</v>
      </c>
      <c r="BS190">
        <f t="shared" si="26"/>
        <v>5.096788830647391E-09</v>
      </c>
      <c r="BU190" s="5">
        <v>4.8E-10</v>
      </c>
      <c r="BV190" s="5">
        <v>2.69973662261</v>
      </c>
      <c r="BW190" s="5">
        <v>6709.6740408674</v>
      </c>
      <c r="BX190">
        <f t="shared" si="27"/>
        <v>-4.6269586157623813E-10</v>
      </c>
    </row>
    <row r="191" spans="13:76" ht="12.75">
      <c r="M191" s="5">
        <v>1.346E-08</v>
      </c>
      <c r="N191" s="5">
        <v>1.51574702235</v>
      </c>
      <c r="O191" s="5">
        <v>4136.9104335162</v>
      </c>
      <c r="P191">
        <f t="shared" si="22"/>
        <v>-6.208022921537459E-09</v>
      </c>
      <c r="R191" s="5">
        <v>1.26E-09</v>
      </c>
      <c r="S191" s="5">
        <v>3.47435905118</v>
      </c>
      <c r="T191" s="5">
        <v>22483.8485744925</v>
      </c>
      <c r="U191">
        <f t="shared" si="23"/>
        <v>-1.259309405486352E-09</v>
      </c>
      <c r="BP191" s="5">
        <v>5.69E-09</v>
      </c>
      <c r="BQ191" s="5">
        <v>0.16310365162</v>
      </c>
      <c r="BR191" s="5">
        <v>17267.2682016911</v>
      </c>
      <c r="BS191">
        <f t="shared" si="26"/>
        <v>8.051694408741664E-10</v>
      </c>
      <c r="BU191" s="5">
        <v>6.4E-10</v>
      </c>
      <c r="BV191" s="5">
        <v>1.64379897981</v>
      </c>
      <c r="BW191" s="5">
        <v>6262.300454499</v>
      </c>
      <c r="BX191">
        <f t="shared" si="27"/>
        <v>-6.399971664129173E-10</v>
      </c>
    </row>
    <row r="192" spans="13:76" ht="12.75">
      <c r="M192" s="5">
        <v>1.528E-08</v>
      </c>
      <c r="N192" s="5">
        <v>5.61835711404</v>
      </c>
      <c r="O192" s="5">
        <v>6127.6554505572</v>
      </c>
      <c r="P192">
        <f t="shared" si="22"/>
        <v>1.0452736291272179E-08</v>
      </c>
      <c r="R192" s="5">
        <v>1.59E-09</v>
      </c>
      <c r="S192" s="5">
        <v>5.63954754618</v>
      </c>
      <c r="T192" s="5">
        <v>5729.506447149</v>
      </c>
      <c r="U192">
        <f t="shared" si="23"/>
        <v>1.3142721208229516E-09</v>
      </c>
      <c r="BP192" s="5">
        <v>5.68E-09</v>
      </c>
      <c r="BQ192" s="5">
        <v>3.86100969474</v>
      </c>
      <c r="BR192" s="5">
        <v>6076.8903015542</v>
      </c>
      <c r="BS192">
        <f t="shared" si="26"/>
        <v>-5.670907741046929E-09</v>
      </c>
      <c r="BU192" s="5">
        <v>4.6E-10</v>
      </c>
      <c r="BV192" s="5">
        <v>3.98449608961</v>
      </c>
      <c r="BW192" s="5">
        <v>98068.5367163053</v>
      </c>
      <c r="BX192">
        <f t="shared" si="27"/>
        <v>-1.322196390762411E-10</v>
      </c>
    </row>
    <row r="193" spans="13:76" ht="12.75">
      <c r="M193" s="5">
        <v>1.791E-08</v>
      </c>
      <c r="N193" s="5">
        <v>3.22187270126</v>
      </c>
      <c r="O193" s="5">
        <v>39302.096962196</v>
      </c>
      <c r="P193">
        <f t="shared" si="22"/>
        <v>-7.993641202594052E-09</v>
      </c>
      <c r="R193" s="5">
        <v>1.23E-09</v>
      </c>
      <c r="S193" s="5">
        <v>3.92815963256</v>
      </c>
      <c r="T193" s="5">
        <v>17996.0311682222</v>
      </c>
      <c r="U193">
        <f t="shared" si="23"/>
        <v>3.5129441300546504E-10</v>
      </c>
      <c r="BP193" s="5">
        <v>5.39E-09</v>
      </c>
      <c r="BQ193" s="5">
        <v>4.83282276086</v>
      </c>
      <c r="BR193" s="5">
        <v>18422.6293590981</v>
      </c>
      <c r="BS193">
        <f t="shared" si="26"/>
        <v>8.033471436149438E-10</v>
      </c>
      <c r="BU193" s="5">
        <v>5E-10</v>
      </c>
      <c r="BV193" s="5">
        <v>3.68875893005</v>
      </c>
      <c r="BW193" s="5">
        <v>12323.4230960088</v>
      </c>
      <c r="BX193">
        <f t="shared" si="27"/>
        <v>-2.3641015481016136E-10</v>
      </c>
    </row>
    <row r="194" spans="13:76" ht="12.75">
      <c r="M194" s="5">
        <v>1.747E-08</v>
      </c>
      <c r="N194" s="5">
        <v>3.05638656738</v>
      </c>
      <c r="O194" s="5">
        <v>18319.5365848796</v>
      </c>
      <c r="P194">
        <f aca="true" t="shared" si="29" ref="P194:P257">M194*COS(N194+O194*$E$16)</f>
        <v>-4.302042552811748E-09</v>
      </c>
      <c r="R194" s="5">
        <v>1.48E-09</v>
      </c>
      <c r="S194" s="5">
        <v>3.02509280598</v>
      </c>
      <c r="T194" s="5">
        <v>1551.045222648</v>
      </c>
      <c r="U194">
        <f aca="true" t="shared" si="30" ref="U194:U257">R194*COS(S194+T194*$E$16)</f>
        <v>-1.4752345123034994E-09</v>
      </c>
      <c r="BP194" s="5">
        <v>4.66E-09</v>
      </c>
      <c r="BQ194" s="5">
        <v>0.75872342878</v>
      </c>
      <c r="BR194" s="5">
        <v>7342.4577801806</v>
      </c>
      <c r="BS194">
        <f aca="true" t="shared" si="31" ref="BS194:BS257">BP194*COS(BQ194+BR194*$E$16)</f>
        <v>-4.580916770886853E-09</v>
      </c>
      <c r="BU194" s="5">
        <v>4.5E-10</v>
      </c>
      <c r="BV194" s="5">
        <v>3.30068569697</v>
      </c>
      <c r="BW194" s="5">
        <v>22003.9146348698</v>
      </c>
      <c r="BX194">
        <f aca="true" t="shared" si="32" ref="BX194:BX257">BU194*COS(BV194+BW194*$E$16)</f>
        <v>-4.4248838463281187E-10</v>
      </c>
    </row>
    <row r="195" spans="13:76" ht="12.75">
      <c r="M195" s="5">
        <v>1.431E-08</v>
      </c>
      <c r="N195" s="5">
        <v>4.51153808594</v>
      </c>
      <c r="O195" s="5">
        <v>20426.571092422</v>
      </c>
      <c r="P195">
        <f t="shared" si="29"/>
        <v>-9.182346439424188E-09</v>
      </c>
      <c r="R195" s="5">
        <v>1.2E-09</v>
      </c>
      <c r="S195" s="5">
        <v>5.91904349732</v>
      </c>
      <c r="T195" s="5">
        <v>6206.8097787158</v>
      </c>
      <c r="U195">
        <f t="shared" si="30"/>
        <v>1.0777970221491055E-09</v>
      </c>
      <c r="BP195" s="5">
        <v>5.41E-09</v>
      </c>
      <c r="BQ195" s="5">
        <v>3.07212190507</v>
      </c>
      <c r="BR195" s="5">
        <v>226858.23855437</v>
      </c>
      <c r="BS195">
        <f t="shared" si="31"/>
        <v>3.2883079598044125E-09</v>
      </c>
      <c r="BU195" s="5">
        <v>4.7E-10</v>
      </c>
      <c r="BV195" s="5">
        <v>1.26317154881</v>
      </c>
      <c r="BW195" s="5">
        <v>11919.140866668</v>
      </c>
      <c r="BX195">
        <f t="shared" si="32"/>
        <v>-4.698084977002012E-10</v>
      </c>
    </row>
    <row r="196" spans="13:76" ht="12.75">
      <c r="M196" s="5">
        <v>1.695E-08</v>
      </c>
      <c r="N196" s="5">
        <v>0.22047718414</v>
      </c>
      <c r="O196" s="5">
        <v>25158.6017197654</v>
      </c>
      <c r="P196">
        <f t="shared" si="29"/>
        <v>4.798661484714052E-09</v>
      </c>
      <c r="R196" s="5">
        <v>1.34E-09</v>
      </c>
      <c r="S196" s="5">
        <v>3.11122937825</v>
      </c>
      <c r="T196" s="5">
        <v>21954.1576093979</v>
      </c>
      <c r="U196">
        <f t="shared" si="30"/>
        <v>-1.0925513471723477E-09</v>
      </c>
      <c r="BP196" s="5">
        <v>4.58E-09</v>
      </c>
      <c r="BQ196" s="5">
        <v>0.26774483096</v>
      </c>
      <c r="BR196" s="5">
        <v>4590.910180489</v>
      </c>
      <c r="BS196">
        <f t="shared" si="31"/>
        <v>4.559803463279118E-09</v>
      </c>
      <c r="BU196" s="5">
        <v>4.5E-10</v>
      </c>
      <c r="BV196" s="5">
        <v>0.89150445122</v>
      </c>
      <c r="BW196" s="5">
        <v>51868.2486621788</v>
      </c>
      <c r="BX196">
        <f t="shared" si="32"/>
        <v>-4.487930837465961E-10</v>
      </c>
    </row>
    <row r="197" spans="13:76" ht="12.75">
      <c r="M197" s="5">
        <v>1.242E-08</v>
      </c>
      <c r="N197" s="5">
        <v>4.46665769933</v>
      </c>
      <c r="O197" s="5">
        <v>17256.6315363414</v>
      </c>
      <c r="P197">
        <f t="shared" si="29"/>
        <v>-1.145179150282351E-08</v>
      </c>
      <c r="R197" s="5">
        <v>1.19E-09</v>
      </c>
      <c r="S197" s="5">
        <v>5.5214112345</v>
      </c>
      <c r="T197" s="5">
        <v>709.9330485583</v>
      </c>
      <c r="U197">
        <f t="shared" si="30"/>
        <v>-1.2115660632158773E-10</v>
      </c>
      <c r="BP197" s="5">
        <v>6.1E-09</v>
      </c>
      <c r="BQ197" s="5">
        <v>1.53597051291</v>
      </c>
      <c r="BR197" s="5">
        <v>33019.0211122046</v>
      </c>
      <c r="BS197">
        <f t="shared" si="31"/>
        <v>9.866400112723945E-10</v>
      </c>
      <c r="BU197" s="5">
        <v>4.3E-10</v>
      </c>
      <c r="BV197" s="5">
        <v>1.61526242998</v>
      </c>
      <c r="BW197" s="5">
        <v>6277.552925684</v>
      </c>
      <c r="BX197">
        <f t="shared" si="32"/>
        <v>-4.24388267072702E-10</v>
      </c>
    </row>
    <row r="198" spans="13:76" ht="12.75">
      <c r="M198" s="5">
        <v>1.463E-08</v>
      </c>
      <c r="N198" s="5">
        <v>4.69242679213</v>
      </c>
      <c r="O198" s="5">
        <v>14945.3161735544</v>
      </c>
      <c r="P198">
        <f t="shared" si="29"/>
        <v>1.406202778107715E-08</v>
      </c>
      <c r="R198" s="5">
        <v>1.22E-09</v>
      </c>
      <c r="S198" s="5">
        <v>3.00813429479</v>
      </c>
      <c r="T198" s="5">
        <v>19800.9459562248</v>
      </c>
      <c r="U198">
        <f t="shared" si="30"/>
        <v>5.39183180914369E-10</v>
      </c>
      <c r="BP198" s="5">
        <v>6.17E-09</v>
      </c>
      <c r="BQ198" s="5">
        <v>2.62356328726</v>
      </c>
      <c r="BR198" s="5">
        <v>11190.377900137</v>
      </c>
      <c r="BS198">
        <f t="shared" si="31"/>
        <v>-1.4477753949852487E-09</v>
      </c>
      <c r="BU198" s="5">
        <v>4.3E-10</v>
      </c>
      <c r="BV198" s="5">
        <v>5.74295325645</v>
      </c>
      <c r="BW198" s="5">
        <v>11403.676995575</v>
      </c>
      <c r="BX198">
        <f t="shared" si="32"/>
        <v>1.3023157963977689E-10</v>
      </c>
    </row>
    <row r="199" spans="13:76" ht="12.75">
      <c r="M199" s="5">
        <v>1.205E-08</v>
      </c>
      <c r="N199" s="5">
        <v>1.86912144659</v>
      </c>
      <c r="O199" s="5">
        <v>4590.910180489</v>
      </c>
      <c r="P199">
        <f t="shared" si="29"/>
        <v>-1.496672220340874E-09</v>
      </c>
      <c r="R199" s="5">
        <v>1.27E-09</v>
      </c>
      <c r="S199" s="5">
        <v>1.37618620001</v>
      </c>
      <c r="T199" s="5">
        <v>14945.3161735544</v>
      </c>
      <c r="U199">
        <f t="shared" si="30"/>
        <v>-1.1412344702420401E-09</v>
      </c>
      <c r="BP199" s="5">
        <v>5.48E-09</v>
      </c>
      <c r="BQ199" s="5">
        <v>4.55798855791</v>
      </c>
      <c r="BR199" s="5">
        <v>18875.525869774</v>
      </c>
      <c r="BS199">
        <f t="shared" si="31"/>
        <v>-4.106139590405311E-09</v>
      </c>
      <c r="BU199" s="5">
        <v>4.4E-10</v>
      </c>
      <c r="BV199" s="5">
        <v>3.43070646822</v>
      </c>
      <c r="BW199" s="5">
        <v>10021.8372800994</v>
      </c>
      <c r="BX199">
        <f t="shared" si="32"/>
        <v>2.963373109230658E-10</v>
      </c>
    </row>
    <row r="200" spans="13:76" ht="12.75">
      <c r="M200" s="5">
        <v>1.192E-08</v>
      </c>
      <c r="N200" s="5">
        <v>2.74227166898</v>
      </c>
      <c r="O200" s="5">
        <v>12569.6748183318</v>
      </c>
      <c r="P200">
        <f t="shared" si="29"/>
        <v>1.191881208943308E-08</v>
      </c>
      <c r="R200" s="5">
        <v>1.41E-09</v>
      </c>
      <c r="S200" s="5">
        <v>2.56889468729</v>
      </c>
      <c r="T200" s="5">
        <v>1052.2683831884</v>
      </c>
      <c r="U200">
        <f t="shared" si="30"/>
        <v>-1.3767625932617813E-09</v>
      </c>
      <c r="BP200" s="5">
        <v>6.33E-09</v>
      </c>
      <c r="BQ200" s="5">
        <v>4.60110281228</v>
      </c>
      <c r="BR200" s="5">
        <v>66567.4858652542</v>
      </c>
      <c r="BS200">
        <f t="shared" si="31"/>
        <v>3.043037762065855E-09</v>
      </c>
      <c r="BU200" s="5">
        <v>5.6E-10</v>
      </c>
      <c r="BV200" s="5">
        <v>0.02481833774</v>
      </c>
      <c r="BW200" s="5">
        <v>15671.0817594066</v>
      </c>
      <c r="BX200">
        <f t="shared" si="32"/>
        <v>-3.8064783954504055E-10</v>
      </c>
    </row>
    <row r="201" spans="13:76" ht="12.75">
      <c r="M201" s="5">
        <v>1.222E-08</v>
      </c>
      <c r="N201" s="5">
        <v>5.18120087482</v>
      </c>
      <c r="O201" s="5">
        <v>5333.9002410216</v>
      </c>
      <c r="P201">
        <f t="shared" si="29"/>
        <v>7.442524747981853E-11</v>
      </c>
      <c r="R201" s="5">
        <v>1.23E-09</v>
      </c>
      <c r="S201" s="5">
        <v>2.83671175442</v>
      </c>
      <c r="T201" s="5">
        <v>11919.140866668</v>
      </c>
      <c r="U201">
        <f t="shared" si="30"/>
        <v>-3.173491041663719E-11</v>
      </c>
      <c r="BP201" s="5">
        <v>5.96E-09</v>
      </c>
      <c r="BQ201" s="5">
        <v>5.78202396722</v>
      </c>
      <c r="BR201" s="5">
        <v>632.7837393132</v>
      </c>
      <c r="BS201">
        <f t="shared" si="31"/>
        <v>3.2899477691882885E-09</v>
      </c>
      <c r="BU201" s="5">
        <v>5.5E-10</v>
      </c>
      <c r="BV201" s="5">
        <v>3.14274403422</v>
      </c>
      <c r="BW201" s="5">
        <v>33019.0211122046</v>
      </c>
      <c r="BX201">
        <f t="shared" si="32"/>
        <v>5.392069481351437E-10</v>
      </c>
    </row>
    <row r="202" spans="13:76" ht="12.75">
      <c r="M202" s="5">
        <v>1.39E-08</v>
      </c>
      <c r="N202" s="5">
        <v>5.42894648983</v>
      </c>
      <c r="O202" s="5">
        <v>143571.324284816</v>
      </c>
      <c r="P202">
        <f t="shared" si="29"/>
        <v>-1.3362493796666741E-08</v>
      </c>
      <c r="R202" s="5">
        <v>1.18E-09</v>
      </c>
      <c r="S202" s="5">
        <v>0.81934438215</v>
      </c>
      <c r="T202" s="5">
        <v>5331.3574437408</v>
      </c>
      <c r="U202">
        <f t="shared" si="30"/>
        <v>-1.1225896736991084E-09</v>
      </c>
      <c r="BP202" s="5">
        <v>5.33E-09</v>
      </c>
      <c r="BQ202" s="5">
        <v>5.01786882904</v>
      </c>
      <c r="BR202" s="5">
        <v>12132.439962106</v>
      </c>
      <c r="BS202">
        <f t="shared" si="31"/>
        <v>-5.319690434155172E-09</v>
      </c>
      <c r="BU202" s="5">
        <v>4.5E-10</v>
      </c>
      <c r="BV202" s="5">
        <v>3.00877289177</v>
      </c>
      <c r="BW202" s="5">
        <v>8982.810669309</v>
      </c>
      <c r="BX202">
        <f t="shared" si="32"/>
        <v>4.3940745406047293E-10</v>
      </c>
    </row>
    <row r="203" spans="13:76" ht="12.75">
      <c r="M203" s="5">
        <v>1.473E-08</v>
      </c>
      <c r="N203" s="5">
        <v>1.70479245805</v>
      </c>
      <c r="O203" s="5">
        <v>11712.9553182308</v>
      </c>
      <c r="P203">
        <f t="shared" si="29"/>
        <v>7.674317057831055E-09</v>
      </c>
      <c r="R203" s="5">
        <v>1.51E-09</v>
      </c>
      <c r="S203" s="5">
        <v>2.68731829165</v>
      </c>
      <c r="T203" s="5">
        <v>11769.8536931664</v>
      </c>
      <c r="U203">
        <f t="shared" si="30"/>
        <v>-1.3677158284012856E-09</v>
      </c>
      <c r="BP203" s="5">
        <v>6.03E-09</v>
      </c>
      <c r="BQ203" s="5">
        <v>5.38458554802</v>
      </c>
      <c r="BR203" s="5">
        <v>316428.228673915</v>
      </c>
      <c r="BS203">
        <f t="shared" si="31"/>
        <v>-9.417509296198815E-10</v>
      </c>
      <c r="BU203" s="5">
        <v>4.6E-10</v>
      </c>
      <c r="BV203" s="5">
        <v>0.73303568429</v>
      </c>
      <c r="BW203" s="5">
        <v>6303.4311693902</v>
      </c>
      <c r="BX203">
        <f t="shared" si="32"/>
        <v>-4.2319999052245943E-10</v>
      </c>
    </row>
    <row r="204" spans="13:76" ht="12.75">
      <c r="M204" s="5">
        <v>1.362E-08</v>
      </c>
      <c r="N204" s="5">
        <v>2.61069503292</v>
      </c>
      <c r="O204" s="5">
        <v>6062.6632075526</v>
      </c>
      <c r="P204">
        <f t="shared" si="29"/>
        <v>-1.2131345061191494E-09</v>
      </c>
      <c r="R204" s="5">
        <v>1.19E-09</v>
      </c>
      <c r="S204" s="5">
        <v>5.08835797638</v>
      </c>
      <c r="T204" s="5">
        <v>5481.2549188676</v>
      </c>
      <c r="U204">
        <f t="shared" si="30"/>
        <v>-1.1784006103453841E-09</v>
      </c>
      <c r="BP204" s="5">
        <v>4.69E-09</v>
      </c>
      <c r="BQ204" s="5">
        <v>0.59168241917</v>
      </c>
      <c r="BR204" s="5">
        <v>21954.1576093979</v>
      </c>
      <c r="BS204">
        <f t="shared" si="31"/>
        <v>4.689951237474986E-09</v>
      </c>
      <c r="BU204" s="5">
        <v>4.9E-10</v>
      </c>
      <c r="BV204" s="5">
        <v>1.60455690285</v>
      </c>
      <c r="BW204" s="5">
        <v>6303.8512454838</v>
      </c>
      <c r="BX204">
        <f t="shared" si="32"/>
        <v>-4.359854254186418E-10</v>
      </c>
    </row>
    <row r="205" spans="13:76" ht="12.75">
      <c r="M205" s="5">
        <v>1.148E-08</v>
      </c>
      <c r="N205" s="5">
        <v>6.0300180054</v>
      </c>
      <c r="O205" s="5">
        <v>3634.6210245184</v>
      </c>
      <c r="P205">
        <f t="shared" si="29"/>
        <v>1.0589414792465064E-08</v>
      </c>
      <c r="R205" s="5">
        <v>1.53E-09</v>
      </c>
      <c r="S205" s="5">
        <v>2.46021790779</v>
      </c>
      <c r="T205" s="5">
        <v>11933.3679606696</v>
      </c>
      <c r="U205">
        <f t="shared" si="30"/>
        <v>-3.4521948105485916E-10</v>
      </c>
      <c r="BP205" s="5">
        <v>5.48E-09</v>
      </c>
      <c r="BQ205" s="5">
        <v>3.50613163558</v>
      </c>
      <c r="BR205" s="5">
        <v>17253.0411076895</v>
      </c>
      <c r="BS205">
        <f t="shared" si="31"/>
        <v>-9.201722748037513E-10</v>
      </c>
      <c r="BU205" s="5">
        <v>4.5E-10</v>
      </c>
      <c r="BV205" s="5">
        <v>0.40210030323</v>
      </c>
      <c r="BW205" s="5">
        <v>6805.6532680852</v>
      </c>
      <c r="BX205">
        <f t="shared" si="32"/>
        <v>-2.9708904721033707E-10</v>
      </c>
    </row>
    <row r="206" spans="13:76" ht="12.75">
      <c r="M206" s="5">
        <v>1.198E-08</v>
      </c>
      <c r="N206" s="5">
        <v>5.15294130422</v>
      </c>
      <c r="O206" s="5">
        <v>10177.2576795336</v>
      </c>
      <c r="P206">
        <f t="shared" si="29"/>
        <v>-2.9612487545197057E-09</v>
      </c>
      <c r="R206" s="5">
        <v>1.08E-09</v>
      </c>
      <c r="S206" s="5">
        <v>1.04936452145</v>
      </c>
      <c r="T206" s="5">
        <v>11403.676995575</v>
      </c>
      <c r="U206">
        <f t="shared" si="30"/>
        <v>-1.0352436197836985E-09</v>
      </c>
      <c r="BP206" s="5">
        <v>5.02E-09</v>
      </c>
      <c r="BQ206" s="5">
        <v>0.98804327589</v>
      </c>
      <c r="BR206" s="5">
        <v>11609.8625440122</v>
      </c>
      <c r="BS206">
        <f t="shared" si="31"/>
        <v>2.8794020253048823E-09</v>
      </c>
      <c r="BU206" s="5">
        <v>5.3E-10</v>
      </c>
      <c r="BV206" s="5">
        <v>0.94869680175</v>
      </c>
      <c r="BW206" s="5">
        <v>10988.808157535</v>
      </c>
      <c r="BX206">
        <f t="shared" si="32"/>
        <v>-3.6957066570952116E-10</v>
      </c>
    </row>
    <row r="207" spans="13:76" ht="12.75">
      <c r="M207" s="5">
        <v>1.266E-08</v>
      </c>
      <c r="N207" s="5">
        <v>0.11421493643</v>
      </c>
      <c r="O207" s="5">
        <v>18422.6293590981</v>
      </c>
      <c r="P207">
        <f t="shared" si="29"/>
        <v>1.2530087128452467E-08</v>
      </c>
      <c r="R207" s="5">
        <v>1.28E-09</v>
      </c>
      <c r="S207" s="5">
        <v>0.99794735107</v>
      </c>
      <c r="T207" s="5">
        <v>8827.3902698748</v>
      </c>
      <c r="U207">
        <f t="shared" si="30"/>
        <v>-1.084254043024842E-09</v>
      </c>
      <c r="BP207" s="5">
        <v>5.68E-09</v>
      </c>
      <c r="BQ207" s="5">
        <v>1.98497313089</v>
      </c>
      <c r="BR207" s="5">
        <v>7668.6374249425</v>
      </c>
      <c r="BS207">
        <f t="shared" si="31"/>
        <v>-1.86604873280328E-09</v>
      </c>
      <c r="BU207" s="5">
        <v>4.1E-10</v>
      </c>
      <c r="BV207" s="5">
        <v>1.61122384329</v>
      </c>
      <c r="BW207" s="5">
        <v>6819.8803620868</v>
      </c>
      <c r="BX207">
        <f t="shared" si="32"/>
        <v>-3.528953200283816E-10</v>
      </c>
    </row>
    <row r="208" spans="13:76" ht="12.75">
      <c r="M208" s="5">
        <v>1.411E-08</v>
      </c>
      <c r="N208" s="5">
        <v>1.09908857534</v>
      </c>
      <c r="O208" s="5">
        <v>3496.032826134</v>
      </c>
      <c r="P208">
        <f t="shared" si="29"/>
        <v>1.4094467087459011E-08</v>
      </c>
      <c r="R208" s="5">
        <v>1.44E-09</v>
      </c>
      <c r="S208" s="5">
        <v>2.54869747042</v>
      </c>
      <c r="T208" s="5">
        <v>227.476132789</v>
      </c>
      <c r="U208">
        <f t="shared" si="30"/>
        <v>8.479503288483442E-10</v>
      </c>
      <c r="BP208" s="5">
        <v>4.82E-09</v>
      </c>
      <c r="BQ208" s="5">
        <v>1.62141803864</v>
      </c>
      <c r="BR208" s="5">
        <v>12146.6670561076</v>
      </c>
      <c r="BS208">
        <f t="shared" si="31"/>
        <v>4.819223793308026E-09</v>
      </c>
      <c r="BU208" s="5">
        <v>5.5E-10</v>
      </c>
      <c r="BV208" s="5">
        <v>0.89439119424</v>
      </c>
      <c r="BW208" s="5">
        <v>11933.3679606696</v>
      </c>
      <c r="BX208">
        <f t="shared" si="32"/>
        <v>-5.364268255984167E-10</v>
      </c>
    </row>
    <row r="209" spans="13:76" ht="12.75">
      <c r="M209" s="5">
        <v>1.349E-08</v>
      </c>
      <c r="N209" s="5">
        <v>2.99805109633</v>
      </c>
      <c r="O209" s="5">
        <v>17654.7805397496</v>
      </c>
      <c r="P209">
        <f t="shared" si="29"/>
        <v>1.3395352226754876E-08</v>
      </c>
      <c r="R209" s="5">
        <v>1.5E-09</v>
      </c>
      <c r="S209" s="5">
        <v>4.50631437136</v>
      </c>
      <c r="T209" s="5">
        <v>2379.1644735716</v>
      </c>
      <c r="U209">
        <f t="shared" si="30"/>
        <v>-1.005825033272901E-09</v>
      </c>
      <c r="BP209" s="5">
        <v>3.91E-09</v>
      </c>
      <c r="BQ209" s="5">
        <v>3.68718382989</v>
      </c>
      <c r="BR209" s="5">
        <v>18052.9295431578</v>
      </c>
      <c r="BS209">
        <f t="shared" si="31"/>
        <v>2.6576324200336618E-09</v>
      </c>
      <c r="BU209" s="5">
        <v>4.5E-10</v>
      </c>
      <c r="BV209" s="5">
        <v>3.88495384656</v>
      </c>
      <c r="BW209" s="5">
        <v>60530.4889857418</v>
      </c>
      <c r="BX209">
        <f t="shared" si="32"/>
        <v>3.9061458137871894E-10</v>
      </c>
    </row>
    <row r="210" spans="13:76" ht="12.75">
      <c r="M210" s="5">
        <v>1.253E-08</v>
      </c>
      <c r="N210" s="5">
        <v>2.79850152848</v>
      </c>
      <c r="O210" s="5">
        <v>167283.761587665</v>
      </c>
      <c r="P210">
        <f t="shared" si="29"/>
        <v>-9.124993504063525E-09</v>
      </c>
      <c r="R210" s="5">
        <v>1.07E-09</v>
      </c>
      <c r="S210" s="5">
        <v>1.79272017026</v>
      </c>
      <c r="T210" s="5">
        <v>13119.7211028251</v>
      </c>
      <c r="U210">
        <f t="shared" si="30"/>
        <v>9.567577248758394E-10</v>
      </c>
      <c r="BP210" s="5">
        <v>4.57E-09</v>
      </c>
      <c r="BQ210" s="5">
        <v>3.7720573734</v>
      </c>
      <c r="BR210" s="5">
        <v>156137.475984799</v>
      </c>
      <c r="BS210">
        <f t="shared" si="31"/>
        <v>2.3217502398088315E-11</v>
      </c>
      <c r="BU210" s="5">
        <v>4E-10</v>
      </c>
      <c r="BV210" s="5">
        <v>4.75740908001</v>
      </c>
      <c r="BW210" s="5">
        <v>38526.574350872</v>
      </c>
      <c r="BX210">
        <f t="shared" si="32"/>
        <v>3.7854546984245046E-10</v>
      </c>
    </row>
    <row r="211" spans="13:76" ht="12.75">
      <c r="M211" s="5">
        <v>1.311E-08</v>
      </c>
      <c r="N211" s="5">
        <v>1.60942984879</v>
      </c>
      <c r="O211" s="5">
        <v>5481.2549188676</v>
      </c>
      <c r="P211">
        <f t="shared" si="29"/>
        <v>1.2854891572866357E-08</v>
      </c>
      <c r="R211" s="5">
        <v>1.07E-09</v>
      </c>
      <c r="S211" s="5">
        <v>4.43556814486</v>
      </c>
      <c r="T211" s="5">
        <v>18422.6293590981</v>
      </c>
      <c r="U211">
        <f t="shared" si="30"/>
        <v>-2.622885130067173E-10</v>
      </c>
      <c r="BP211" s="5">
        <v>4.01E-09</v>
      </c>
      <c r="BQ211" s="5">
        <v>5.28260651958</v>
      </c>
      <c r="BR211" s="5">
        <v>15671.0817594066</v>
      </c>
      <c r="BS211">
        <f t="shared" si="31"/>
        <v>-3.928471489977146E-09</v>
      </c>
      <c r="BU211" s="5">
        <v>4E-10</v>
      </c>
      <c r="BV211" s="5">
        <v>1.49921251887</v>
      </c>
      <c r="BW211" s="5">
        <v>18451.0785465659</v>
      </c>
      <c r="BX211">
        <f t="shared" si="32"/>
        <v>-1.208536032546794E-10</v>
      </c>
    </row>
    <row r="212" spans="13:76" ht="12.75">
      <c r="M212" s="5">
        <v>1.079E-08</v>
      </c>
      <c r="N212" s="5">
        <v>6.20304501787</v>
      </c>
      <c r="O212" s="5">
        <v>3.2863574178</v>
      </c>
      <c r="P212">
        <f t="shared" si="29"/>
        <v>1.0781461714103404E-08</v>
      </c>
      <c r="R212" s="5">
        <v>1.09E-09</v>
      </c>
      <c r="S212" s="5">
        <v>0.29269062317</v>
      </c>
      <c r="T212" s="5">
        <v>16737.5772365966</v>
      </c>
      <c r="U212">
        <f t="shared" si="30"/>
        <v>5.4829776776241344E-11</v>
      </c>
      <c r="BP212" s="5">
        <v>4.69E-09</v>
      </c>
      <c r="BQ212" s="5">
        <v>1.80963184268</v>
      </c>
      <c r="BR212" s="5">
        <v>12562.6285816338</v>
      </c>
      <c r="BS212">
        <f t="shared" si="31"/>
        <v>2.5140663551422546E-09</v>
      </c>
      <c r="BU212" s="5">
        <v>4E-10</v>
      </c>
      <c r="BV212" s="5">
        <v>3.77498297228</v>
      </c>
      <c r="BW212" s="5">
        <v>26087.9031415742</v>
      </c>
      <c r="BX212">
        <f t="shared" si="32"/>
        <v>-3.4270796122397477E-10</v>
      </c>
    </row>
    <row r="213" spans="13:76" ht="12.75">
      <c r="M213" s="5">
        <v>1.181E-08</v>
      </c>
      <c r="N213" s="5">
        <v>1.20653776978</v>
      </c>
      <c r="O213" s="5">
        <v>131.5419616864</v>
      </c>
      <c r="P213">
        <f t="shared" si="29"/>
        <v>-1.1211351208434148E-08</v>
      </c>
      <c r="R213" s="5">
        <v>1.41E-09</v>
      </c>
      <c r="S213" s="5">
        <v>3.18979826258</v>
      </c>
      <c r="T213" s="5">
        <v>6262.300454499</v>
      </c>
      <c r="U213">
        <f t="shared" si="30"/>
        <v>-3.07656117092953E-11</v>
      </c>
      <c r="BP213" s="5">
        <v>5.08E-09</v>
      </c>
      <c r="BQ213" s="5">
        <v>3.36399024699</v>
      </c>
      <c r="BR213" s="5">
        <v>20597.2439630412</v>
      </c>
      <c r="BS213">
        <f t="shared" si="31"/>
        <v>1.2645916876474365E-09</v>
      </c>
      <c r="BU213" s="5">
        <v>5.1E-10</v>
      </c>
      <c r="BV213" s="5">
        <v>1.70258603562</v>
      </c>
      <c r="BW213" s="5">
        <v>1551.045222648</v>
      </c>
      <c r="BX213">
        <f t="shared" si="32"/>
        <v>-1.6456688883653038E-10</v>
      </c>
    </row>
    <row r="214" spans="13:76" ht="12.75">
      <c r="M214" s="5">
        <v>1.254E-08</v>
      </c>
      <c r="N214" s="5">
        <v>5.45103277798</v>
      </c>
      <c r="O214" s="5">
        <v>6076.8903015542</v>
      </c>
      <c r="P214">
        <f t="shared" si="29"/>
        <v>-4.684178783221675E-10</v>
      </c>
      <c r="R214" s="5">
        <v>1.22E-09</v>
      </c>
      <c r="S214" s="5">
        <v>4.23040027813</v>
      </c>
      <c r="T214" s="5">
        <v>29.429508536</v>
      </c>
      <c r="U214">
        <f t="shared" si="30"/>
        <v>-1.467804492868082E-10</v>
      </c>
      <c r="BP214" s="5">
        <v>4.5E-09</v>
      </c>
      <c r="BQ214" s="5">
        <v>5.6605429925</v>
      </c>
      <c r="BR214" s="5">
        <v>10454.5013866052</v>
      </c>
      <c r="BS214">
        <f t="shared" si="31"/>
        <v>-2.2386900480326107E-09</v>
      </c>
      <c r="BU214" s="5">
        <v>3.9E-10</v>
      </c>
      <c r="BV214" s="5">
        <v>2.97100699926</v>
      </c>
      <c r="BW214" s="5">
        <v>2118.7638603784</v>
      </c>
      <c r="BX214">
        <f t="shared" si="32"/>
        <v>-2.9464035499511576E-10</v>
      </c>
    </row>
    <row r="215" spans="13:76" ht="12.75">
      <c r="M215" s="5">
        <v>1.035E-08</v>
      </c>
      <c r="N215" s="5">
        <v>2.32142722747</v>
      </c>
      <c r="O215" s="5">
        <v>7342.4577801806</v>
      </c>
      <c r="P215">
        <f t="shared" si="29"/>
        <v>-1.980963595441753E-09</v>
      </c>
      <c r="R215" s="5">
        <v>1.11E-09</v>
      </c>
      <c r="S215" s="5">
        <v>5.16954029551</v>
      </c>
      <c r="T215" s="5">
        <v>17782.7320727842</v>
      </c>
      <c r="U215">
        <f t="shared" si="30"/>
        <v>-9.832427508411846E-10</v>
      </c>
      <c r="BP215" s="5">
        <v>3.75E-09</v>
      </c>
      <c r="BQ215" s="5">
        <v>4.98534633105</v>
      </c>
      <c r="BR215" s="5">
        <v>9779.1086761254</v>
      </c>
      <c r="BS215">
        <f t="shared" si="31"/>
        <v>3.1074123694660604E-09</v>
      </c>
      <c r="BU215" s="5">
        <v>5.3E-10</v>
      </c>
      <c r="BV215" s="5">
        <v>5.19854123078</v>
      </c>
      <c r="BW215" s="5">
        <v>77713.7714681205</v>
      </c>
      <c r="BX215">
        <f t="shared" si="32"/>
        <v>-1.35443997100456E-10</v>
      </c>
    </row>
    <row r="216" spans="13:76" ht="12.75">
      <c r="M216" s="5">
        <v>1.117E-08</v>
      </c>
      <c r="N216" s="5">
        <v>0.38838354256</v>
      </c>
      <c r="O216" s="5">
        <v>949.1756089698</v>
      </c>
      <c r="P216">
        <f t="shared" si="29"/>
        <v>9.680067704450772E-09</v>
      </c>
      <c r="R216" s="5">
        <v>1E-09</v>
      </c>
      <c r="S216" s="5">
        <v>3.52213872761</v>
      </c>
      <c r="T216" s="5">
        <v>18052.9295431578</v>
      </c>
      <c r="U216">
        <f t="shared" si="30"/>
        <v>5.499549866857842E-10</v>
      </c>
      <c r="BP216" s="5">
        <v>5.23E-09</v>
      </c>
      <c r="BQ216" s="5">
        <v>0.97215560834</v>
      </c>
      <c r="BR216" s="5">
        <v>155427.54293624</v>
      </c>
      <c r="BS216">
        <f t="shared" si="31"/>
        <v>4.546491278113264E-09</v>
      </c>
      <c r="BU216" s="5">
        <v>4.7E-10</v>
      </c>
      <c r="BV216" s="5">
        <v>4.26356628717</v>
      </c>
      <c r="BW216" s="5">
        <v>21424.4666443034</v>
      </c>
      <c r="BX216">
        <f t="shared" si="32"/>
        <v>-4.470769229940692E-10</v>
      </c>
    </row>
    <row r="217" spans="13:76" ht="12.75">
      <c r="M217" s="5">
        <v>9.66E-09</v>
      </c>
      <c r="N217" s="5">
        <v>3.18341890851</v>
      </c>
      <c r="O217" s="5">
        <v>11087.2851259184</v>
      </c>
      <c r="P217">
        <f t="shared" si="29"/>
        <v>4.368281383726156E-09</v>
      </c>
      <c r="R217" s="5">
        <v>1.08E-09</v>
      </c>
      <c r="S217" s="5">
        <v>1.08514212991</v>
      </c>
      <c r="T217" s="5">
        <v>16858.4825329332</v>
      </c>
      <c r="U217">
        <f t="shared" si="30"/>
        <v>7.853063411646514E-10</v>
      </c>
      <c r="BP217" s="5">
        <v>4.03E-09</v>
      </c>
      <c r="BQ217" s="5">
        <v>5.13939866506</v>
      </c>
      <c r="BR217" s="5">
        <v>1551.045222648</v>
      </c>
      <c r="BS217">
        <f t="shared" si="31"/>
        <v>2.353952243419072E-09</v>
      </c>
      <c r="BU217" s="5">
        <v>3.7E-10</v>
      </c>
      <c r="BV217" s="5">
        <v>0.62902722802</v>
      </c>
      <c r="BW217" s="5">
        <v>24356.7807886416</v>
      </c>
      <c r="BX217">
        <f t="shared" si="32"/>
        <v>-1.0927237560937005E-10</v>
      </c>
    </row>
    <row r="218" spans="13:76" ht="12.75">
      <c r="M218" s="5">
        <v>1.171E-08</v>
      </c>
      <c r="N218" s="5">
        <v>3.39635049962</v>
      </c>
      <c r="O218" s="5">
        <v>12562.6285816338</v>
      </c>
      <c r="P218">
        <f t="shared" si="29"/>
        <v>9.784238421866849E-09</v>
      </c>
      <c r="R218" s="5">
        <v>1.06E-09</v>
      </c>
      <c r="S218" s="5">
        <v>1.9608524841</v>
      </c>
      <c r="T218" s="5">
        <v>74.7815985673</v>
      </c>
      <c r="U218">
        <f t="shared" si="30"/>
        <v>-1.023703573322233E-09</v>
      </c>
      <c r="BP218" s="5">
        <v>3.72E-09</v>
      </c>
      <c r="BQ218" s="5">
        <v>3.69883738807</v>
      </c>
      <c r="BR218" s="5">
        <v>9388.0059094152</v>
      </c>
      <c r="BS218">
        <f t="shared" si="31"/>
        <v>3.426268912068417E-09</v>
      </c>
      <c r="BU218" s="5">
        <v>3.6E-10</v>
      </c>
      <c r="BV218" s="5">
        <v>0.11087914947</v>
      </c>
      <c r="BW218" s="5">
        <v>10344.2950653858</v>
      </c>
      <c r="BX218">
        <f t="shared" si="32"/>
        <v>3.5609360974861554E-11</v>
      </c>
    </row>
    <row r="219" spans="13:76" ht="12.75">
      <c r="M219" s="5">
        <v>1.121E-08</v>
      </c>
      <c r="N219" s="5">
        <v>0.72627490378</v>
      </c>
      <c r="O219" s="5">
        <v>220.4126424388</v>
      </c>
      <c r="P219">
        <f t="shared" si="29"/>
        <v>-1.0737811254045168E-08</v>
      </c>
      <c r="R219" s="5">
        <v>1.1E-09</v>
      </c>
      <c r="S219" s="5">
        <v>2.30582372873</v>
      </c>
      <c r="T219" s="5">
        <v>16460.3335295249</v>
      </c>
      <c r="U219">
        <f t="shared" si="30"/>
        <v>-1.0710852879133449E-09</v>
      </c>
      <c r="BP219" s="5">
        <v>3.67E-09</v>
      </c>
      <c r="BQ219" s="5">
        <v>4.43875659716</v>
      </c>
      <c r="BR219" s="5">
        <v>4535.0594369244</v>
      </c>
      <c r="BS219">
        <f t="shared" si="31"/>
        <v>-3.3242790186174456E-09</v>
      </c>
      <c r="BU219" s="5">
        <v>3.6E-10</v>
      </c>
      <c r="BV219" s="5">
        <v>0.77037556319</v>
      </c>
      <c r="BW219" s="5">
        <v>12029.3471878874</v>
      </c>
      <c r="BX219">
        <f t="shared" si="32"/>
        <v>-2.4243572882764596E-10</v>
      </c>
    </row>
    <row r="220" spans="13:76" ht="12.75">
      <c r="M220" s="5">
        <v>1.024E-08</v>
      </c>
      <c r="N220" s="5">
        <v>2.19378315386</v>
      </c>
      <c r="O220" s="5">
        <v>11403.676995575</v>
      </c>
      <c r="P220">
        <f t="shared" si="29"/>
        <v>-6.715640392457966E-09</v>
      </c>
      <c r="R220" s="5">
        <v>9.7E-10</v>
      </c>
      <c r="S220" s="5">
        <v>3.5091894021</v>
      </c>
      <c r="T220" s="5">
        <v>5333.9002410216</v>
      </c>
      <c r="U220">
        <f t="shared" si="30"/>
        <v>9.64420824958522E-10</v>
      </c>
      <c r="BP220" s="5">
        <v>4.06E-09</v>
      </c>
      <c r="BQ220" s="5">
        <v>4.208631566</v>
      </c>
      <c r="BR220" s="5">
        <v>12592.4500197826</v>
      </c>
      <c r="BS220">
        <f t="shared" si="31"/>
        <v>-7.641895498738448E-10</v>
      </c>
      <c r="BU220" s="5">
        <v>3.5E-10</v>
      </c>
      <c r="BV220" s="5">
        <v>3.30933994515</v>
      </c>
      <c r="BW220" s="5">
        <v>24072.9214697764</v>
      </c>
      <c r="BX220">
        <f t="shared" si="32"/>
        <v>-3.127420439581458E-10</v>
      </c>
    </row>
    <row r="221" spans="13:76" ht="12.75">
      <c r="M221" s="5">
        <v>8.88E-09</v>
      </c>
      <c r="N221" s="5">
        <v>3.91173199285</v>
      </c>
      <c r="O221" s="5">
        <v>4686.8894077068</v>
      </c>
      <c r="P221">
        <f t="shared" si="29"/>
        <v>1.8001817385734854E-09</v>
      </c>
      <c r="R221" s="5">
        <v>9.9E-10</v>
      </c>
      <c r="S221" s="5">
        <v>3.56417337974</v>
      </c>
      <c r="T221" s="5">
        <v>735.8765135318</v>
      </c>
      <c r="U221">
        <f t="shared" si="30"/>
        <v>9.894236309940851E-10</v>
      </c>
      <c r="BP221" s="5">
        <v>3.6E-09</v>
      </c>
      <c r="BQ221" s="5">
        <v>2.53924644657</v>
      </c>
      <c r="BR221" s="5">
        <v>242.728603974</v>
      </c>
      <c r="BS221">
        <f t="shared" si="31"/>
        <v>2.601182900960515E-09</v>
      </c>
      <c r="BU221" s="5">
        <v>3.5E-10</v>
      </c>
      <c r="BV221" s="5">
        <v>5.93650887012</v>
      </c>
      <c r="BW221" s="5">
        <v>31570.7996493912</v>
      </c>
      <c r="BX221">
        <f t="shared" si="32"/>
        <v>-2.130161270978223E-10</v>
      </c>
    </row>
    <row r="222" spans="13:76" ht="12.75">
      <c r="M222" s="5">
        <v>9.1E-09</v>
      </c>
      <c r="N222" s="5">
        <v>1.98802695087</v>
      </c>
      <c r="O222" s="5">
        <v>735.8765135318</v>
      </c>
      <c r="P222">
        <f t="shared" si="29"/>
        <v>2.6181266576189795E-10</v>
      </c>
      <c r="R222" s="5">
        <v>9.4E-10</v>
      </c>
      <c r="S222" s="5">
        <v>5.01857894228</v>
      </c>
      <c r="T222" s="5">
        <v>3128.3887650958</v>
      </c>
      <c r="U222">
        <f t="shared" si="30"/>
        <v>8.022896882016131E-10</v>
      </c>
      <c r="BP222" s="5">
        <v>4.71E-09</v>
      </c>
      <c r="BQ222" s="5">
        <v>4.61907324819</v>
      </c>
      <c r="BR222" s="5">
        <v>5436.9930152402</v>
      </c>
      <c r="BS222">
        <f t="shared" si="31"/>
        <v>-3.0260702968487526E-09</v>
      </c>
      <c r="BU222" s="5">
        <v>3.6E-10</v>
      </c>
      <c r="BV222" s="5">
        <v>2.15108874765</v>
      </c>
      <c r="BW222" s="5">
        <v>30774.5016425748</v>
      </c>
      <c r="BX222">
        <f t="shared" si="32"/>
        <v>-3.588240808083615E-10</v>
      </c>
    </row>
    <row r="223" spans="13:76" ht="12.75">
      <c r="M223" s="5">
        <v>8.3E-09</v>
      </c>
      <c r="N223" s="5">
        <v>0.48984915507</v>
      </c>
      <c r="O223" s="5">
        <v>24072.9214697764</v>
      </c>
      <c r="P223">
        <f t="shared" si="29"/>
        <v>5.855402461206252E-09</v>
      </c>
      <c r="R223" s="5">
        <v>9.7E-10</v>
      </c>
      <c r="S223" s="5">
        <v>1.65579893894</v>
      </c>
      <c r="T223" s="5">
        <v>533.2140834436</v>
      </c>
      <c r="U223">
        <f t="shared" si="30"/>
        <v>-3.3216539407013697E-10</v>
      </c>
      <c r="BP223" s="5">
        <v>4.41E-09</v>
      </c>
      <c r="BQ223" s="5">
        <v>5.83872966262</v>
      </c>
      <c r="BR223" s="5">
        <v>3496.032826134</v>
      </c>
      <c r="BS223">
        <f t="shared" si="31"/>
        <v>3.268275591204518E-10</v>
      </c>
      <c r="BU223" s="5">
        <v>3.6E-10</v>
      </c>
      <c r="BV223" s="5">
        <v>1.75078825382</v>
      </c>
      <c r="BW223" s="5">
        <v>16207.886271502</v>
      </c>
      <c r="BX223">
        <f t="shared" si="32"/>
        <v>3.4561747361140246E-10</v>
      </c>
    </row>
    <row r="224" spans="13:76" ht="12.75">
      <c r="M224" s="5">
        <v>1.096E-08</v>
      </c>
      <c r="N224" s="5">
        <v>6.17377835617</v>
      </c>
      <c r="O224" s="5">
        <v>5436.9930152402</v>
      </c>
      <c r="P224">
        <f t="shared" si="29"/>
        <v>-8.510910409107499E-09</v>
      </c>
      <c r="R224" s="5">
        <v>9.2E-10</v>
      </c>
      <c r="S224" s="5">
        <v>0.89217162285</v>
      </c>
      <c r="T224" s="5">
        <v>29296.6153895786</v>
      </c>
      <c r="U224">
        <f t="shared" si="30"/>
        <v>-7.389337564010123E-10</v>
      </c>
      <c r="BP224" s="5">
        <v>3.85E-09</v>
      </c>
      <c r="BQ224" s="5">
        <v>4.94496680973</v>
      </c>
      <c r="BR224" s="5">
        <v>24356.7807886416</v>
      </c>
      <c r="BS224">
        <f t="shared" si="31"/>
        <v>-2.9539199077038933E-09</v>
      </c>
      <c r="BU224" s="5">
        <v>3.3E-10</v>
      </c>
      <c r="BV224" s="5">
        <v>5.06264177921</v>
      </c>
      <c r="BW224" s="5">
        <v>226858.23855437</v>
      </c>
      <c r="BX224">
        <f t="shared" si="32"/>
        <v>1.5756132411036578E-10</v>
      </c>
    </row>
    <row r="225" spans="13:76" ht="12.75">
      <c r="M225" s="5">
        <v>9.08E-09</v>
      </c>
      <c r="N225" s="5">
        <v>0.44959639433</v>
      </c>
      <c r="O225" s="5">
        <v>7477.522860216</v>
      </c>
      <c r="P225">
        <f t="shared" si="29"/>
        <v>-3.5848804951088114E-09</v>
      </c>
      <c r="R225" s="5">
        <v>1.23E-09</v>
      </c>
      <c r="S225" s="5">
        <v>3.16062050433</v>
      </c>
      <c r="T225" s="5">
        <v>9380.9596727172</v>
      </c>
      <c r="U225">
        <f t="shared" si="30"/>
        <v>6.387058859870598E-10</v>
      </c>
      <c r="BP225" s="5">
        <v>3.49E-09</v>
      </c>
      <c r="BQ225" s="5">
        <v>6.15018231784</v>
      </c>
      <c r="BR225" s="5">
        <v>19800.9459562248</v>
      </c>
      <c r="BS225">
        <f t="shared" si="31"/>
        <v>-1.540991692144213E-09</v>
      </c>
      <c r="BU225" s="5">
        <v>3.4E-10</v>
      </c>
      <c r="BV225" s="5">
        <v>6.168913788</v>
      </c>
      <c r="BW225" s="5">
        <v>24491.4257925834</v>
      </c>
      <c r="BX225">
        <f t="shared" si="32"/>
        <v>1.948574167591711E-10</v>
      </c>
    </row>
    <row r="226" spans="13:76" ht="12.75">
      <c r="M226" s="5">
        <v>9.74E-09</v>
      </c>
      <c r="N226" s="5">
        <v>1.52996238356</v>
      </c>
      <c r="O226" s="5">
        <v>9623.6882766912</v>
      </c>
      <c r="P226">
        <f t="shared" si="29"/>
        <v>9.22957915193329E-09</v>
      </c>
      <c r="R226" s="5">
        <v>1.02E-09</v>
      </c>
      <c r="S226" s="5">
        <v>1.20493500565</v>
      </c>
      <c r="T226" s="5">
        <v>23020.6530865879</v>
      </c>
      <c r="U226">
        <f t="shared" si="30"/>
        <v>4.1883809296991795E-10</v>
      </c>
      <c r="BP226" s="5">
        <v>3.55E-09</v>
      </c>
      <c r="BQ226" s="5">
        <v>0.21895678106</v>
      </c>
      <c r="BR226" s="5">
        <v>5429.8794682394</v>
      </c>
      <c r="BS226">
        <f t="shared" si="31"/>
        <v>-2.1431756326125244E-09</v>
      </c>
      <c r="BU226" s="5">
        <v>3.5E-10</v>
      </c>
      <c r="BV226" s="5">
        <v>3.19120695549</v>
      </c>
      <c r="BW226" s="5">
        <v>32217.2001810808</v>
      </c>
      <c r="BX226">
        <f t="shared" si="32"/>
        <v>-3.446894707327545E-10</v>
      </c>
    </row>
    <row r="227" spans="13:76" ht="12.75">
      <c r="M227" s="5">
        <v>8.4E-09</v>
      </c>
      <c r="N227" s="5">
        <v>1.79543266333</v>
      </c>
      <c r="O227" s="5">
        <v>5429.8794682394</v>
      </c>
      <c r="P227">
        <f t="shared" si="29"/>
        <v>6.7251983652020926E-09</v>
      </c>
      <c r="R227" s="5">
        <v>8.8E-10</v>
      </c>
      <c r="S227" s="5">
        <v>2.21296088224</v>
      </c>
      <c r="T227" s="5">
        <v>12721.572099417</v>
      </c>
      <c r="U227">
        <f t="shared" si="30"/>
        <v>1.9267787267904917E-10</v>
      </c>
      <c r="BP227" s="5">
        <v>3.44E-09</v>
      </c>
      <c r="BQ227" s="5">
        <v>5.62993724928</v>
      </c>
      <c r="BR227" s="5">
        <v>2379.1644735716</v>
      </c>
      <c r="BS227">
        <f t="shared" si="31"/>
        <v>-3.29853798841019E-09</v>
      </c>
      <c r="BU227" s="5">
        <v>3.4E-10</v>
      </c>
      <c r="BV227" s="5">
        <v>2.31528650443</v>
      </c>
      <c r="BW227" s="5">
        <v>55798.4583583984</v>
      </c>
      <c r="BX227">
        <f t="shared" si="32"/>
        <v>-2.9726938660324524E-10</v>
      </c>
    </row>
    <row r="228" spans="13:76" ht="12.75">
      <c r="M228" s="5">
        <v>7.78E-09</v>
      </c>
      <c r="N228" s="5">
        <v>6.17699177946</v>
      </c>
      <c r="O228" s="5">
        <v>38.1330356378</v>
      </c>
      <c r="P228">
        <f t="shared" si="29"/>
        <v>7.275594995414158E-09</v>
      </c>
      <c r="R228" s="5">
        <v>8.9E-10</v>
      </c>
      <c r="S228" s="5">
        <v>1.5426472031</v>
      </c>
      <c r="T228" s="5">
        <v>20199.094959633</v>
      </c>
      <c r="U228">
        <f t="shared" si="30"/>
        <v>-1.5558360642565757E-10</v>
      </c>
      <c r="BP228" s="5">
        <v>3.8E-09</v>
      </c>
      <c r="BQ228" s="5">
        <v>2.72105213143</v>
      </c>
      <c r="BR228" s="5">
        <v>11933.3679606696</v>
      </c>
      <c r="BS228">
        <f t="shared" si="31"/>
        <v>1.2629183911071995E-10</v>
      </c>
      <c r="BU228" s="5">
        <v>3.2E-10</v>
      </c>
      <c r="BV228" s="5">
        <v>4.21446357042</v>
      </c>
      <c r="BW228" s="5">
        <v>15664.0355227085</v>
      </c>
      <c r="BX228">
        <f t="shared" si="32"/>
        <v>-6.800072132571195E-11</v>
      </c>
    </row>
    <row r="229" spans="13:76" ht="12.75">
      <c r="M229" s="5">
        <v>7.76E-09</v>
      </c>
      <c r="N229" s="5">
        <v>4.09855402433</v>
      </c>
      <c r="O229" s="5">
        <v>14.2270940016</v>
      </c>
      <c r="P229">
        <f t="shared" si="29"/>
        <v>-3.299187257554972E-09</v>
      </c>
      <c r="R229" s="5">
        <v>1.13E-09</v>
      </c>
      <c r="S229" s="5">
        <v>4.8332070787</v>
      </c>
      <c r="T229" s="5">
        <v>16496.3613962024</v>
      </c>
      <c r="U229">
        <f t="shared" si="30"/>
        <v>1.1281003569512402E-09</v>
      </c>
      <c r="BP229" s="5">
        <v>4.32E-09</v>
      </c>
      <c r="BQ229" s="5">
        <v>0.24221790536</v>
      </c>
      <c r="BR229" s="5">
        <v>17996.0311682222</v>
      </c>
      <c r="BS229">
        <f t="shared" si="31"/>
        <v>1.0884927915745853E-09</v>
      </c>
      <c r="BU229" s="5">
        <v>3.9E-10</v>
      </c>
      <c r="BV229" s="5">
        <v>1.24979117796</v>
      </c>
      <c r="BW229" s="5">
        <v>6418.1409300268</v>
      </c>
      <c r="BX229">
        <f t="shared" si="32"/>
        <v>-1.8774570122639457E-11</v>
      </c>
    </row>
    <row r="230" spans="13:76" ht="12.75">
      <c r="M230" s="5">
        <v>1.068E-08</v>
      </c>
      <c r="N230" s="5">
        <v>4.64200173735</v>
      </c>
      <c r="O230" s="5">
        <v>43232.3066584156</v>
      </c>
      <c r="P230">
        <f t="shared" si="29"/>
        <v>1.2893101658484733E-09</v>
      </c>
      <c r="R230" s="5">
        <v>1.21E-09</v>
      </c>
      <c r="S230" s="5">
        <v>6.19860353182</v>
      </c>
      <c r="T230" s="5">
        <v>9388.0059094152</v>
      </c>
      <c r="U230">
        <f t="shared" si="30"/>
        <v>-6.105632773871703E-10</v>
      </c>
      <c r="BP230" s="5">
        <v>3.78E-09</v>
      </c>
      <c r="BQ230" s="5">
        <v>5.22517556974</v>
      </c>
      <c r="BR230" s="5">
        <v>7477.522860216</v>
      </c>
      <c r="BS230">
        <f t="shared" si="31"/>
        <v>-3.5602322427308523E-09</v>
      </c>
      <c r="BU230" s="5">
        <v>3.7E-10</v>
      </c>
      <c r="BV230" s="5">
        <v>4.1194365577</v>
      </c>
      <c r="BW230" s="5">
        <v>2787.0430238574</v>
      </c>
      <c r="BX230">
        <f t="shared" si="32"/>
        <v>2.958230397704341E-10</v>
      </c>
    </row>
    <row r="231" spans="13:76" ht="12.75">
      <c r="M231" s="5">
        <v>9.54E-09</v>
      </c>
      <c r="N231" s="5">
        <v>1.49988435748</v>
      </c>
      <c r="O231" s="5">
        <v>1162.4747044078</v>
      </c>
      <c r="P231">
        <f t="shared" si="29"/>
        <v>-9.518768400875736E-09</v>
      </c>
      <c r="R231" s="5">
        <v>8.9E-10</v>
      </c>
      <c r="S231" s="5">
        <v>4.08082274765</v>
      </c>
      <c r="T231" s="5">
        <v>22805.7355659936</v>
      </c>
      <c r="U231">
        <f t="shared" si="30"/>
        <v>1.6490977700403726E-10</v>
      </c>
      <c r="BP231" s="5">
        <v>3.37E-09</v>
      </c>
      <c r="BQ231" s="5">
        <v>5.10888041439</v>
      </c>
      <c r="BR231" s="5">
        <v>5849.3641121146</v>
      </c>
      <c r="BS231">
        <f t="shared" si="31"/>
        <v>1.0738098604475265E-10</v>
      </c>
      <c r="BU231" s="5">
        <v>3.2E-10</v>
      </c>
      <c r="BV231" s="5">
        <v>1.6288771089</v>
      </c>
      <c r="BW231" s="5">
        <v>639.897286314</v>
      </c>
      <c r="BX231">
        <f t="shared" si="32"/>
        <v>-3.1938856875763816E-10</v>
      </c>
    </row>
    <row r="232" spans="13:76" ht="12.75">
      <c r="M232" s="5">
        <v>9.07E-09</v>
      </c>
      <c r="N232" s="5">
        <v>0.86986870809</v>
      </c>
      <c r="O232" s="5">
        <v>10344.2950653858</v>
      </c>
      <c r="P232">
        <f t="shared" si="29"/>
        <v>-5.560343964112477E-09</v>
      </c>
      <c r="R232" s="5">
        <v>9.8E-10</v>
      </c>
      <c r="S232" s="5">
        <v>1.0918183283</v>
      </c>
      <c r="T232" s="5">
        <v>12043.574281889</v>
      </c>
      <c r="U232">
        <f t="shared" si="30"/>
        <v>-2.3551365231055086E-10</v>
      </c>
      <c r="BP232" s="5">
        <v>3.15E-09</v>
      </c>
      <c r="BQ232" s="5">
        <v>0.57827745123</v>
      </c>
      <c r="BR232" s="5">
        <v>10557.5941608238</v>
      </c>
      <c r="BS232">
        <f t="shared" si="31"/>
        <v>-4.832732703135661E-10</v>
      </c>
      <c r="BU232" s="5">
        <v>3.8E-10</v>
      </c>
      <c r="BV232" s="5">
        <v>5.89832942685</v>
      </c>
      <c r="BW232" s="5">
        <v>640.8776073822</v>
      </c>
      <c r="BX232">
        <f t="shared" si="32"/>
        <v>1.3708465874122406E-10</v>
      </c>
    </row>
    <row r="233" spans="13:76" ht="12.75">
      <c r="M233" s="5">
        <v>9.31E-09</v>
      </c>
      <c r="N233" s="5">
        <v>4.06044689031</v>
      </c>
      <c r="O233" s="5">
        <v>28766.924424484</v>
      </c>
      <c r="P233">
        <f t="shared" si="29"/>
        <v>6.264310833356495E-09</v>
      </c>
      <c r="R233" s="5">
        <v>8.6E-10</v>
      </c>
      <c r="S233" s="5">
        <v>1.13655027605</v>
      </c>
      <c r="T233" s="5">
        <v>143571.324284816</v>
      </c>
      <c r="U233">
        <f t="shared" si="30"/>
        <v>1.208498962930703E-10</v>
      </c>
      <c r="BP233" s="5">
        <v>3.18E-09</v>
      </c>
      <c r="BQ233" s="5">
        <v>4.49953141399</v>
      </c>
      <c r="BR233" s="5">
        <v>3634.6210245184</v>
      </c>
      <c r="BS233">
        <f t="shared" si="31"/>
        <v>1.3452677254699965E-09</v>
      </c>
      <c r="BU233" s="5">
        <v>3.2E-10</v>
      </c>
      <c r="BV233" s="5">
        <v>1.72442327688</v>
      </c>
      <c r="BW233" s="5">
        <v>27433.8892158749</v>
      </c>
      <c r="BX233">
        <f t="shared" si="32"/>
        <v>2.471176434138507E-10</v>
      </c>
    </row>
    <row r="234" spans="13:76" ht="12.75">
      <c r="M234" s="5">
        <v>7.39E-09</v>
      </c>
      <c r="N234" s="5">
        <v>5.04368197372</v>
      </c>
      <c r="O234" s="5">
        <v>639.897286314</v>
      </c>
      <c r="P234">
        <f t="shared" si="29"/>
        <v>6.979095246527651E-09</v>
      </c>
      <c r="R234" s="5">
        <v>8.8E-10</v>
      </c>
      <c r="S234" s="5">
        <v>5.96980472191</v>
      </c>
      <c r="T234" s="5">
        <v>107.6635239386</v>
      </c>
      <c r="U234">
        <f t="shared" si="30"/>
        <v>4.690116725899808E-10</v>
      </c>
      <c r="BP234" s="5">
        <v>3.23E-09</v>
      </c>
      <c r="BQ234" s="5">
        <v>1.54274281393</v>
      </c>
      <c r="BR234" s="5">
        <v>10440.2742926036</v>
      </c>
      <c r="BS234">
        <f t="shared" si="31"/>
        <v>-1.9034921441208054E-09</v>
      </c>
      <c r="BU234" s="5">
        <v>3.1E-10</v>
      </c>
      <c r="BV234" s="5">
        <v>2.78828943753</v>
      </c>
      <c r="BW234" s="5">
        <v>12139.5535091068</v>
      </c>
      <c r="BX234">
        <f t="shared" si="32"/>
        <v>1.5112487418319833E-10</v>
      </c>
    </row>
    <row r="235" spans="13:76" ht="12.75">
      <c r="M235" s="5">
        <v>9.37E-09</v>
      </c>
      <c r="N235" s="5">
        <v>3.4688469896</v>
      </c>
      <c r="O235" s="5">
        <v>1589.0728952838</v>
      </c>
      <c r="P235">
        <f t="shared" si="29"/>
        <v>-5.133452693737981E-09</v>
      </c>
      <c r="R235" s="5">
        <v>8.2E-10</v>
      </c>
      <c r="S235" s="5">
        <v>5.01340404594</v>
      </c>
      <c r="T235" s="5">
        <v>22003.9146348698</v>
      </c>
      <c r="U235">
        <f t="shared" si="30"/>
        <v>2.6174978791677897E-10</v>
      </c>
      <c r="BP235" s="5">
        <v>3.09E-09</v>
      </c>
      <c r="BQ235" s="5">
        <v>5.76839284397</v>
      </c>
      <c r="BR235" s="5">
        <v>20.7753954924</v>
      </c>
      <c r="BS235">
        <f t="shared" si="31"/>
        <v>2.9864011206364125E-09</v>
      </c>
      <c r="BU235" s="5">
        <v>3.5E-10</v>
      </c>
      <c r="BV235" s="5">
        <v>4.44608896525</v>
      </c>
      <c r="BW235" s="5">
        <v>18202.2167166593</v>
      </c>
      <c r="BX235">
        <f t="shared" si="32"/>
        <v>-6.880188734616346E-11</v>
      </c>
    </row>
    <row r="236" spans="13:76" ht="12.75">
      <c r="M236" s="5">
        <v>7.63E-09</v>
      </c>
      <c r="N236" s="5">
        <v>5.86304932998</v>
      </c>
      <c r="O236" s="5">
        <v>16858.4825329332</v>
      </c>
      <c r="P236">
        <f t="shared" si="29"/>
        <v>5.58994861421229E-09</v>
      </c>
      <c r="R236" s="5">
        <v>9.4E-10</v>
      </c>
      <c r="S236" s="5">
        <v>1.69615700473</v>
      </c>
      <c r="T236" s="5">
        <v>23006.4259925863</v>
      </c>
      <c r="U236">
        <f t="shared" si="30"/>
        <v>1.0003497672608238E-10</v>
      </c>
      <c r="BP236" s="5">
        <v>3.01E-09</v>
      </c>
      <c r="BQ236" s="5">
        <v>2.34727604008</v>
      </c>
      <c r="BR236" s="5">
        <v>4686.8894077068</v>
      </c>
      <c r="BS236">
        <f t="shared" si="31"/>
        <v>-2.943572531425287E-09</v>
      </c>
      <c r="BU236" s="5">
        <v>3.4E-10</v>
      </c>
      <c r="BV236" s="5">
        <v>3.96287980676</v>
      </c>
      <c r="BW236" s="5">
        <v>18216.443810661</v>
      </c>
      <c r="BX236">
        <f t="shared" si="32"/>
        <v>3.754080656079785E-11</v>
      </c>
    </row>
    <row r="237" spans="13:76" ht="12.75">
      <c r="M237" s="5">
        <v>9.53E-09</v>
      </c>
      <c r="N237" s="5">
        <v>4.20801492835</v>
      </c>
      <c r="O237" s="5">
        <v>11190.377900137</v>
      </c>
      <c r="P237">
        <f t="shared" si="29"/>
        <v>-9.232528659865406E-09</v>
      </c>
      <c r="R237" s="5">
        <v>8.1E-10</v>
      </c>
      <c r="S237" s="5">
        <v>3.00657814365</v>
      </c>
      <c r="T237" s="5">
        <v>2118.7638603784</v>
      </c>
      <c r="U237">
        <f t="shared" si="30"/>
        <v>-5.926852756484492E-10</v>
      </c>
      <c r="BP237" s="5">
        <v>4.14E-09</v>
      </c>
      <c r="BQ237" s="5">
        <v>5.9323760231</v>
      </c>
      <c r="BR237" s="5">
        <v>51092.7260508548</v>
      </c>
      <c r="BS237">
        <f t="shared" si="31"/>
        <v>1.2367112107201263E-09</v>
      </c>
      <c r="BU237" s="5">
        <v>3.3E-10</v>
      </c>
      <c r="BV237" s="5">
        <v>4.73611335874</v>
      </c>
      <c r="BW237" s="5">
        <v>16723.350142595</v>
      </c>
      <c r="BX237">
        <f t="shared" si="32"/>
        <v>-3.0479842207402005E-10</v>
      </c>
    </row>
    <row r="238" spans="13:76" ht="12.75">
      <c r="M238" s="5">
        <v>7.08E-09</v>
      </c>
      <c r="N238" s="5">
        <v>1.7289998894</v>
      </c>
      <c r="O238" s="5">
        <v>13095.8426650774</v>
      </c>
      <c r="P238">
        <f t="shared" si="29"/>
        <v>4.8240624619087836E-09</v>
      </c>
      <c r="R238" s="5">
        <v>9.8E-10</v>
      </c>
      <c r="S238" s="5">
        <v>1.39215287161</v>
      </c>
      <c r="T238" s="5">
        <v>8662.240323563</v>
      </c>
      <c r="U238">
        <f t="shared" si="30"/>
        <v>5.720650128056797E-10</v>
      </c>
      <c r="BP238" s="5">
        <v>3.61E-09</v>
      </c>
      <c r="BQ238" s="5">
        <v>2.1639860955</v>
      </c>
      <c r="BR238" s="5">
        <v>28237.2334593894</v>
      </c>
      <c r="BS238">
        <f t="shared" si="31"/>
        <v>-3.544245100242856E-09</v>
      </c>
      <c r="BU238" s="5">
        <v>3.4E-10</v>
      </c>
      <c r="BV238" s="5">
        <v>1.43910280005</v>
      </c>
      <c r="BW238" s="5">
        <v>49515.382508407</v>
      </c>
      <c r="BX238">
        <f t="shared" si="32"/>
        <v>3.3999870056431204E-10</v>
      </c>
    </row>
    <row r="239" spans="13:76" ht="12.75">
      <c r="M239" s="5">
        <v>9.69E-09</v>
      </c>
      <c r="N239" s="5">
        <v>1.64439522215</v>
      </c>
      <c r="O239" s="5">
        <v>29088.811415985</v>
      </c>
      <c r="P239">
        <f t="shared" si="29"/>
        <v>7.387016964350114E-09</v>
      </c>
      <c r="R239" s="5">
        <v>7.7E-10</v>
      </c>
      <c r="S239" s="5">
        <v>3.3355519084</v>
      </c>
      <c r="T239" s="5">
        <v>15720.8387848784</v>
      </c>
      <c r="U239">
        <f t="shared" si="30"/>
        <v>-2.521201772310492E-11</v>
      </c>
      <c r="BP239" s="5">
        <v>2.88E-09</v>
      </c>
      <c r="BQ239" s="5">
        <v>0.18376252189</v>
      </c>
      <c r="BR239" s="5">
        <v>13095.8426650774</v>
      </c>
      <c r="BS239">
        <f t="shared" si="31"/>
        <v>-2.0571606594360138E-09</v>
      </c>
      <c r="BU239" s="5">
        <v>3.1E-10</v>
      </c>
      <c r="BV239" s="5">
        <v>0.23302920161</v>
      </c>
      <c r="BW239" s="5">
        <v>23581.2581773176</v>
      </c>
      <c r="BX239">
        <f t="shared" si="32"/>
        <v>2.2112066141011457E-10</v>
      </c>
    </row>
    <row r="240" spans="13:76" ht="12.75">
      <c r="M240" s="5">
        <v>7.17E-09</v>
      </c>
      <c r="N240" s="5">
        <v>0.16688678895</v>
      </c>
      <c r="O240" s="5">
        <v>11.729352836</v>
      </c>
      <c r="P240">
        <f t="shared" si="29"/>
        <v>6.826217856051334E-09</v>
      </c>
      <c r="R240" s="5">
        <v>8.2E-10</v>
      </c>
      <c r="S240" s="5">
        <v>5.86880116464</v>
      </c>
      <c r="T240" s="5">
        <v>2787.0430238574</v>
      </c>
      <c r="U240">
        <f t="shared" si="30"/>
        <v>-6.011404644515455E-10</v>
      </c>
      <c r="BP240" s="5">
        <v>2.77E-09</v>
      </c>
      <c r="BQ240" s="5">
        <v>5.12952205045</v>
      </c>
      <c r="BR240" s="5">
        <v>13119.7211028251</v>
      </c>
      <c r="BS240">
        <f t="shared" si="31"/>
        <v>-2.670366797935912E-09</v>
      </c>
      <c r="BU240" s="5">
        <v>2.9E-10</v>
      </c>
      <c r="BV240" s="5">
        <v>2.0263384022</v>
      </c>
      <c r="BW240" s="5">
        <v>11609.8625440122</v>
      </c>
      <c r="BX240">
        <f t="shared" si="32"/>
        <v>2.891097550739717E-10</v>
      </c>
    </row>
    <row r="241" spans="13:76" ht="12.75">
      <c r="M241" s="5">
        <v>9.62E-09</v>
      </c>
      <c r="N241" s="5">
        <v>3.53092337542</v>
      </c>
      <c r="O241" s="5">
        <v>12416.5885028482</v>
      </c>
      <c r="P241">
        <f t="shared" si="29"/>
        <v>4.558934026730382E-09</v>
      </c>
      <c r="R241" s="5">
        <v>7.6E-10</v>
      </c>
      <c r="S241" s="5">
        <v>5.67183650604</v>
      </c>
      <c r="T241" s="5">
        <v>14.2270940016</v>
      </c>
      <c r="U241">
        <f t="shared" si="30"/>
        <v>6.886935300772367E-10</v>
      </c>
      <c r="BP241" s="5">
        <v>3.27E-09</v>
      </c>
      <c r="BQ241" s="5">
        <v>6.19222146204</v>
      </c>
      <c r="BR241" s="5">
        <v>6268.8487559898</v>
      </c>
      <c r="BS241">
        <f t="shared" si="31"/>
        <v>2.6321081164872704E-10</v>
      </c>
      <c r="BU241" s="5">
        <v>3E-10</v>
      </c>
      <c r="BV241" s="5">
        <v>2.5492323024</v>
      </c>
      <c r="BW241" s="5">
        <v>9924.8104215106</v>
      </c>
      <c r="BX241">
        <f t="shared" si="32"/>
        <v>9.713775990001156E-11</v>
      </c>
    </row>
    <row r="242" spans="13:76" ht="12.75">
      <c r="M242" s="5">
        <v>7.47E-09</v>
      </c>
      <c r="N242" s="5">
        <v>5.77866940346</v>
      </c>
      <c r="O242" s="5">
        <v>12592.4500197826</v>
      </c>
      <c r="P242">
        <f t="shared" si="29"/>
        <v>-7.337546467527823E-09</v>
      </c>
      <c r="R242" s="5">
        <v>8.1E-10</v>
      </c>
      <c r="S242" s="5">
        <v>6.16619455699</v>
      </c>
      <c r="T242" s="5">
        <v>1039.0266107904</v>
      </c>
      <c r="U242">
        <f t="shared" si="30"/>
        <v>8.076897934424155E-10</v>
      </c>
      <c r="BP242" s="5">
        <v>2.73E-09</v>
      </c>
      <c r="BQ242" s="5">
        <v>0.30522428863</v>
      </c>
      <c r="BR242" s="5">
        <v>23141.5583829246</v>
      </c>
      <c r="BS242">
        <f t="shared" si="31"/>
        <v>-4.3986081882768846E-10</v>
      </c>
      <c r="BU242" s="5">
        <v>3.2E-10</v>
      </c>
      <c r="BV242" s="5">
        <v>4.91793198558</v>
      </c>
      <c r="BW242" s="5">
        <v>11300.5842213564</v>
      </c>
      <c r="BX242">
        <f t="shared" si="32"/>
        <v>2.1646346531829866E-10</v>
      </c>
    </row>
    <row r="243" spans="13:76" ht="12.75">
      <c r="M243" s="5">
        <v>6.72E-09</v>
      </c>
      <c r="N243" s="5">
        <v>1.91095796194</v>
      </c>
      <c r="O243" s="5">
        <v>3.9321532631</v>
      </c>
      <c r="P243">
        <f t="shared" si="29"/>
        <v>-2.5452117299930304E-09</v>
      </c>
      <c r="R243" s="5">
        <v>7.6E-10</v>
      </c>
      <c r="S243" s="5">
        <v>3.21449884756</v>
      </c>
      <c r="T243" s="5">
        <v>111.1866422876</v>
      </c>
      <c r="U243">
        <f t="shared" si="30"/>
        <v>-1.0044679731757853E-10</v>
      </c>
      <c r="BP243" s="5">
        <v>2.67E-09</v>
      </c>
      <c r="BQ243" s="5">
        <v>5.76152585786</v>
      </c>
      <c r="BR243" s="5">
        <v>5966.6839803348</v>
      </c>
      <c r="BS243">
        <f t="shared" si="31"/>
        <v>-2.3550374014002784E-09</v>
      </c>
      <c r="BU243" s="5">
        <v>2.8E-10</v>
      </c>
      <c r="BV243" s="5">
        <v>0.26187189577</v>
      </c>
      <c r="BW243" s="5">
        <v>13521.7514415914</v>
      </c>
      <c r="BX243">
        <f t="shared" si="32"/>
        <v>-2.7442578865424514E-10</v>
      </c>
    </row>
    <row r="244" spans="13:76" ht="12.75">
      <c r="M244" s="5">
        <v>6.71E-09</v>
      </c>
      <c r="N244" s="5">
        <v>5.46240843677</v>
      </c>
      <c r="O244" s="5">
        <v>18052.9295431578</v>
      </c>
      <c r="P244">
        <f t="shared" si="29"/>
        <v>3.893351730392056E-09</v>
      </c>
      <c r="R244" s="5">
        <v>7.8E-10</v>
      </c>
      <c r="S244" s="5">
        <v>1.37531518377</v>
      </c>
      <c r="T244" s="5">
        <v>21947.1113727</v>
      </c>
      <c r="U244">
        <f t="shared" si="30"/>
        <v>5.957382420330392E-10</v>
      </c>
      <c r="BP244" s="5">
        <v>3.08E-09</v>
      </c>
      <c r="BQ244" s="5">
        <v>5.99280509979</v>
      </c>
      <c r="BR244" s="5">
        <v>22805.7355659936</v>
      </c>
      <c r="BS244">
        <f t="shared" si="31"/>
        <v>-3.0431624104373067E-09</v>
      </c>
      <c r="BU244" s="5">
        <v>2.8E-10</v>
      </c>
      <c r="BV244" s="5">
        <v>3.84568936822</v>
      </c>
      <c r="BW244" s="5">
        <v>2699.7348193176</v>
      </c>
      <c r="BX244">
        <f t="shared" si="32"/>
        <v>2.1387316989307286E-10</v>
      </c>
    </row>
    <row r="245" spans="13:76" ht="12.75">
      <c r="M245" s="5">
        <v>6.75E-09</v>
      </c>
      <c r="N245" s="5">
        <v>6.28311558823</v>
      </c>
      <c r="O245" s="5">
        <v>4535.0594369244</v>
      </c>
      <c r="P245">
        <f t="shared" si="29"/>
        <v>4.405503313804617E-09</v>
      </c>
      <c r="R245" s="5">
        <v>7.4E-10</v>
      </c>
      <c r="S245" s="5">
        <v>3.58814195051</v>
      </c>
      <c r="T245" s="5">
        <v>11609.8625440122</v>
      </c>
      <c r="U245">
        <f t="shared" si="30"/>
        <v>-5.130224170575669E-11</v>
      </c>
      <c r="BP245" s="5">
        <v>3.45E-09</v>
      </c>
      <c r="BQ245" s="5">
        <v>2.92489919444</v>
      </c>
      <c r="BR245" s="5">
        <v>36949.2308084242</v>
      </c>
      <c r="BS245">
        <f t="shared" si="31"/>
        <v>-1.5081179058469672E-09</v>
      </c>
      <c r="BU245" s="5">
        <v>2.9E-10</v>
      </c>
      <c r="BV245" s="5">
        <v>1.83149729794</v>
      </c>
      <c r="BW245" s="5">
        <v>29822.7832363242</v>
      </c>
      <c r="BX245">
        <f t="shared" si="32"/>
        <v>-2.57343413687844E-10</v>
      </c>
    </row>
    <row r="246" spans="13:76" ht="12.75">
      <c r="M246" s="5">
        <v>6.84E-09</v>
      </c>
      <c r="N246" s="5">
        <v>0.3997501208</v>
      </c>
      <c r="O246" s="5">
        <v>5849.3641121146</v>
      </c>
      <c r="P246">
        <f t="shared" si="29"/>
        <v>-6.837200713006477E-09</v>
      </c>
      <c r="R246" s="5">
        <v>7.7E-10</v>
      </c>
      <c r="S246" s="5">
        <v>4.84846488388</v>
      </c>
      <c r="T246" s="5">
        <v>22743.4093795164</v>
      </c>
      <c r="U246">
        <f t="shared" si="30"/>
        <v>1.4093628796113935E-10</v>
      </c>
      <c r="BP246" s="5">
        <v>2.53E-09</v>
      </c>
      <c r="BQ246" s="5">
        <v>5.20995219509</v>
      </c>
      <c r="BR246" s="5">
        <v>24072.9214697764</v>
      </c>
      <c r="BS246">
        <f t="shared" si="31"/>
        <v>1.8068260773486717E-09</v>
      </c>
      <c r="BU246" s="5">
        <v>3.3E-10</v>
      </c>
      <c r="BV246" s="5">
        <v>4.60320094415</v>
      </c>
      <c r="BW246" s="5">
        <v>19004.6479494084</v>
      </c>
      <c r="BX246">
        <f t="shared" si="32"/>
        <v>2.329700143691595E-10</v>
      </c>
    </row>
    <row r="247" spans="13:76" ht="12.75">
      <c r="M247" s="5">
        <v>7.99E-09</v>
      </c>
      <c r="N247" s="5">
        <v>0.29851185294</v>
      </c>
      <c r="O247" s="5">
        <v>12132.439962106</v>
      </c>
      <c r="P247">
        <f t="shared" si="29"/>
        <v>4.411379091148016E-10</v>
      </c>
      <c r="R247" s="5">
        <v>9E-10</v>
      </c>
      <c r="S247" s="5">
        <v>1.48869013606</v>
      </c>
      <c r="T247" s="5">
        <v>15671.0817594066</v>
      </c>
      <c r="U247">
        <f t="shared" si="30"/>
        <v>5.910605967004651E-10</v>
      </c>
      <c r="BP247" s="5">
        <v>3.42E-09</v>
      </c>
      <c r="BQ247" s="5">
        <v>5.72702586209</v>
      </c>
      <c r="BR247" s="5">
        <v>16460.3335295249</v>
      </c>
      <c r="BS247">
        <f t="shared" si="31"/>
        <v>2.9857857182211537E-09</v>
      </c>
      <c r="BU247" s="5">
        <v>2.7E-10</v>
      </c>
      <c r="BV247" s="5">
        <v>4.46183450287</v>
      </c>
      <c r="BW247" s="5">
        <v>6702.5604938666</v>
      </c>
      <c r="BX247">
        <f t="shared" si="32"/>
        <v>9.846088768365732E-11</v>
      </c>
    </row>
    <row r="248" spans="13:76" ht="12.75">
      <c r="M248" s="5">
        <v>7.58E-09</v>
      </c>
      <c r="N248" s="5">
        <v>0.96370823331</v>
      </c>
      <c r="O248" s="5">
        <v>1052.2683831884</v>
      </c>
      <c r="P248">
        <f t="shared" si="29"/>
        <v>1.8896290611567238E-09</v>
      </c>
      <c r="R248" s="5">
        <v>8.2E-10</v>
      </c>
      <c r="S248" s="5">
        <v>3.48618399109</v>
      </c>
      <c r="T248" s="5">
        <v>29088.811415985</v>
      </c>
      <c r="U248">
        <f t="shared" si="30"/>
        <v>-6.786588513085803E-10</v>
      </c>
      <c r="BP248" s="5">
        <v>2.61E-09</v>
      </c>
      <c r="BQ248" s="5">
        <v>2.00304796059</v>
      </c>
      <c r="BR248" s="5">
        <v>6148.010769956</v>
      </c>
      <c r="BS248">
        <f t="shared" si="31"/>
        <v>-1.3184988943958927E-09</v>
      </c>
      <c r="BU248" s="5">
        <v>3E-10</v>
      </c>
      <c r="BV248" s="5">
        <v>4.4649407224</v>
      </c>
      <c r="BW248" s="5">
        <v>36147.4098773004</v>
      </c>
      <c r="BX248">
        <f t="shared" si="32"/>
        <v>-1.8542692052247675E-10</v>
      </c>
    </row>
    <row r="249" spans="13:76" ht="12.75">
      <c r="M249" s="5">
        <v>7.82E-09</v>
      </c>
      <c r="N249" s="5">
        <v>5.33878339919</v>
      </c>
      <c r="O249" s="5">
        <v>13517.8701062334</v>
      </c>
      <c r="P249">
        <f t="shared" si="29"/>
        <v>-9.127725795929512E-10</v>
      </c>
      <c r="R249" s="5">
        <v>6.9E-10</v>
      </c>
      <c r="S249" s="5">
        <v>3.55746476593</v>
      </c>
      <c r="T249" s="5">
        <v>4590.910180489</v>
      </c>
      <c r="U249">
        <f t="shared" si="30"/>
        <v>-6.698816370115907E-10</v>
      </c>
      <c r="BP249" s="5">
        <v>2.38E-09</v>
      </c>
      <c r="BQ249" s="5">
        <v>5.08264392839</v>
      </c>
      <c r="BR249" s="5">
        <v>6915.8595893046</v>
      </c>
      <c r="BS249">
        <f t="shared" si="31"/>
        <v>-1.081555525400666E-09</v>
      </c>
      <c r="BU249" s="5">
        <v>2.7E-10</v>
      </c>
      <c r="BV249" s="5">
        <v>0.03211931363</v>
      </c>
      <c r="BW249" s="5">
        <v>6279.7894925736</v>
      </c>
      <c r="BX249">
        <f t="shared" si="32"/>
        <v>-4.750152805793797E-11</v>
      </c>
    </row>
    <row r="250" spans="13:76" ht="12.75">
      <c r="M250" s="5">
        <v>7.3E-09</v>
      </c>
      <c r="N250" s="5">
        <v>1.70106160291</v>
      </c>
      <c r="O250" s="5">
        <v>17267.2682016911</v>
      </c>
      <c r="P250">
        <f t="shared" si="29"/>
        <v>7.256562651545581E-09</v>
      </c>
      <c r="R250" s="5">
        <v>6.9E-10</v>
      </c>
      <c r="S250" s="5">
        <v>1.93625656075</v>
      </c>
      <c r="T250" s="5">
        <v>135.62532501</v>
      </c>
      <c r="U250">
        <f t="shared" si="30"/>
        <v>-6.182460902667693E-10</v>
      </c>
      <c r="BP250" s="5">
        <v>2.49E-09</v>
      </c>
      <c r="BQ250" s="5">
        <v>2.94762789744</v>
      </c>
      <c r="BR250" s="5">
        <v>135.0650800354</v>
      </c>
      <c r="BS250">
        <f t="shared" si="31"/>
        <v>-2.639566913949009E-10</v>
      </c>
      <c r="BU250" s="5">
        <v>2.6E-10</v>
      </c>
      <c r="BV250" s="5">
        <v>5.46497324333</v>
      </c>
      <c r="BW250" s="5">
        <v>6245.0481773556</v>
      </c>
      <c r="BX250">
        <f t="shared" si="32"/>
        <v>2.3172467836399442E-10</v>
      </c>
    </row>
    <row r="251" spans="13:76" ht="12.75">
      <c r="M251" s="5">
        <v>7.49E-09</v>
      </c>
      <c r="N251" s="5">
        <v>2.59599901875</v>
      </c>
      <c r="O251" s="5">
        <v>11609.8625440122</v>
      </c>
      <c r="P251">
        <f t="shared" si="29"/>
        <v>5.971556830622651E-09</v>
      </c>
      <c r="R251" s="5">
        <v>7E-10</v>
      </c>
      <c r="S251" s="5">
        <v>2.66548322237</v>
      </c>
      <c r="T251" s="5">
        <v>18875.525869774</v>
      </c>
      <c r="U251">
        <f t="shared" si="30"/>
        <v>-2.73939518302633E-10</v>
      </c>
      <c r="BP251" s="5">
        <v>3.06E-09</v>
      </c>
      <c r="BQ251" s="5">
        <v>3.89764686987</v>
      </c>
      <c r="BR251" s="5">
        <v>10988.808157535</v>
      </c>
      <c r="BS251">
        <f t="shared" si="31"/>
        <v>2.5141982389971914E-09</v>
      </c>
      <c r="BU251" s="5">
        <v>3.5E-10</v>
      </c>
      <c r="BV251" s="5">
        <v>4.52695674113</v>
      </c>
      <c r="BW251" s="5">
        <v>36949.2308084242</v>
      </c>
      <c r="BX251">
        <f t="shared" si="32"/>
        <v>3.194167653896799E-10</v>
      </c>
    </row>
    <row r="252" spans="13:76" ht="12.75">
      <c r="M252" s="5">
        <v>7.34E-09</v>
      </c>
      <c r="N252" s="5">
        <v>2.78417782952</v>
      </c>
      <c r="O252" s="5">
        <v>640.8776073822</v>
      </c>
      <c r="P252">
        <f t="shared" si="29"/>
        <v>-2.4590706044680736E-09</v>
      </c>
      <c r="R252" s="5">
        <v>6.9E-10</v>
      </c>
      <c r="S252" s="5">
        <v>5.41478093731</v>
      </c>
      <c r="T252" s="5">
        <v>26735.9452622132</v>
      </c>
      <c r="U252">
        <f t="shared" si="30"/>
        <v>5.212008538547217E-10</v>
      </c>
      <c r="BP252" s="5">
        <v>3.05E-09</v>
      </c>
      <c r="BQ252" s="5">
        <v>0.05827812117</v>
      </c>
      <c r="BR252" s="5">
        <v>4701.1165017084</v>
      </c>
      <c r="BS252">
        <f t="shared" si="31"/>
        <v>9.970382338880695E-10</v>
      </c>
      <c r="BU252" s="5">
        <v>2.7E-10</v>
      </c>
      <c r="BV252" s="5">
        <v>3.52528177609</v>
      </c>
      <c r="BW252" s="5">
        <v>10770.8932562618</v>
      </c>
      <c r="BX252">
        <f t="shared" si="32"/>
        <v>-2.0653699555896866E-10</v>
      </c>
    </row>
    <row r="253" spans="13:76" ht="12.75">
      <c r="M253" s="5">
        <v>6.88E-09</v>
      </c>
      <c r="N253" s="5">
        <v>5.15048287468</v>
      </c>
      <c r="O253" s="5">
        <v>16496.3613962024</v>
      </c>
      <c r="P253">
        <f t="shared" si="29"/>
        <v>6.401215843114137E-09</v>
      </c>
      <c r="R253" s="5">
        <v>7.9E-10</v>
      </c>
      <c r="S253" s="5">
        <v>5.15154513662</v>
      </c>
      <c r="T253" s="5">
        <v>12323.4230960088</v>
      </c>
      <c r="U253">
        <f t="shared" si="30"/>
        <v>6.517925373394141E-10</v>
      </c>
      <c r="BP253" s="5">
        <v>3.19E-09</v>
      </c>
      <c r="BQ253" s="5">
        <v>2.95712862064</v>
      </c>
      <c r="BR253" s="5">
        <v>163096.180361183</v>
      </c>
      <c r="BS253">
        <f t="shared" si="31"/>
        <v>5.781500107692125E-10</v>
      </c>
      <c r="BU253" s="5">
        <v>2.6E-10</v>
      </c>
      <c r="BV253" s="5">
        <v>1.48499438453</v>
      </c>
      <c r="BW253" s="5">
        <v>11080.1715789176</v>
      </c>
      <c r="BX253">
        <f t="shared" si="32"/>
        <v>2.0147817843924054E-10</v>
      </c>
    </row>
    <row r="254" spans="13:76" ht="12.75">
      <c r="M254" s="5">
        <v>7.7E-09</v>
      </c>
      <c r="N254" s="5">
        <v>1.62469589333</v>
      </c>
      <c r="O254" s="5">
        <v>4701.1165017084</v>
      </c>
      <c r="P254">
        <f t="shared" si="29"/>
        <v>-7.265868668458949E-09</v>
      </c>
      <c r="R254" s="5">
        <v>9.4E-10</v>
      </c>
      <c r="S254" s="5">
        <v>3.62899392448</v>
      </c>
      <c r="T254" s="5">
        <v>77713.7714681205</v>
      </c>
      <c r="U254">
        <f t="shared" si="30"/>
        <v>-9.090862520773257E-10</v>
      </c>
      <c r="BP254" s="5">
        <v>2.09E-09</v>
      </c>
      <c r="BQ254" s="5">
        <v>4.43768461442</v>
      </c>
      <c r="BR254" s="5">
        <v>6546.1597733642</v>
      </c>
      <c r="BS254">
        <f t="shared" si="31"/>
        <v>-2.089999592156517E-09</v>
      </c>
      <c r="BU254" s="5">
        <v>3.5E-10</v>
      </c>
      <c r="BV254" s="5">
        <v>2.82154380962</v>
      </c>
      <c r="BW254" s="5">
        <v>19402.7969528166</v>
      </c>
      <c r="BX254">
        <f t="shared" si="32"/>
        <v>-2.3849177365612874E-10</v>
      </c>
    </row>
    <row r="255" spans="13:76" ht="12.75">
      <c r="M255" s="5">
        <v>6.33E-09</v>
      </c>
      <c r="N255" s="5">
        <v>2.20587893893</v>
      </c>
      <c r="O255" s="5">
        <v>25934.1243310894</v>
      </c>
      <c r="P255">
        <f t="shared" si="29"/>
        <v>6.169090223956698E-09</v>
      </c>
      <c r="R255" s="5">
        <v>7.8E-10</v>
      </c>
      <c r="S255" s="5">
        <v>4.17011182047</v>
      </c>
      <c r="T255" s="5">
        <v>1066.49547719</v>
      </c>
      <c r="U255">
        <f t="shared" si="30"/>
        <v>-9.697913957278295E-12</v>
      </c>
      <c r="BP255" s="5">
        <v>2.7E-09</v>
      </c>
      <c r="BQ255" s="5">
        <v>2.06643178717</v>
      </c>
      <c r="BR255" s="5">
        <v>4804.209275927</v>
      </c>
      <c r="BS255">
        <f t="shared" si="31"/>
        <v>-5.377638591654618E-10</v>
      </c>
      <c r="BU255" s="5">
        <v>2.5E-10</v>
      </c>
      <c r="BV255" s="5">
        <v>2.46339998836</v>
      </c>
      <c r="BW255" s="5">
        <v>6279.4854213396</v>
      </c>
      <c r="BX255">
        <f t="shared" si="32"/>
        <v>-1.2793177553972536E-10</v>
      </c>
    </row>
    <row r="256" spans="13:76" ht="12.75">
      <c r="M256" s="5">
        <v>7.6E-09</v>
      </c>
      <c r="N256" s="5">
        <v>4.21317219403</v>
      </c>
      <c r="O256" s="5">
        <v>377.3736079158</v>
      </c>
      <c r="P256">
        <f t="shared" si="29"/>
        <v>-6.3671693507594695E-09</v>
      </c>
      <c r="R256" s="5">
        <v>7.1E-10</v>
      </c>
      <c r="S256" s="5">
        <v>3.89435637865</v>
      </c>
      <c r="T256" s="5">
        <v>22779.4372461938</v>
      </c>
      <c r="U256">
        <f t="shared" si="30"/>
        <v>4.5509341224429136E-10</v>
      </c>
      <c r="BP256" s="5">
        <v>2.17E-09</v>
      </c>
      <c r="BQ256" s="5">
        <v>0.73691592312</v>
      </c>
      <c r="BR256" s="5">
        <v>6303.8512454838</v>
      </c>
      <c r="BS256">
        <f t="shared" si="31"/>
        <v>-2.0040053256986448E-09</v>
      </c>
      <c r="BU256" s="5">
        <v>2.6E-10</v>
      </c>
      <c r="BV256" s="5">
        <v>4.97688894643</v>
      </c>
      <c r="BW256" s="5">
        <v>16737.5772365966</v>
      </c>
      <c r="BX256">
        <f t="shared" si="32"/>
        <v>-2.599363188013795E-10</v>
      </c>
    </row>
    <row r="257" spans="13:76" ht="12.75">
      <c r="M257" s="5">
        <v>5.84E-09</v>
      </c>
      <c r="N257" s="5">
        <v>2.13420121623</v>
      </c>
      <c r="O257" s="5">
        <v>10557.5941608238</v>
      </c>
      <c r="P257">
        <f t="shared" si="29"/>
        <v>5.7568974283160635E-09</v>
      </c>
      <c r="R257" s="5">
        <v>6.3E-10</v>
      </c>
      <c r="S257" s="5">
        <v>4.53968787714</v>
      </c>
      <c r="T257" s="5">
        <v>8982.810669309</v>
      </c>
      <c r="U257">
        <f t="shared" si="30"/>
        <v>-1.1125184394088013E-10</v>
      </c>
      <c r="BP257" s="5">
        <v>2.06E-09</v>
      </c>
      <c r="BQ257" s="5">
        <v>0.32075959415</v>
      </c>
      <c r="BR257" s="5">
        <v>25934.1243310894</v>
      </c>
      <c r="BS257">
        <f t="shared" si="31"/>
        <v>-1.8179412932481589E-10</v>
      </c>
      <c r="BU257" s="5">
        <v>2.6E-10</v>
      </c>
      <c r="BV257" s="5">
        <v>2.36136541526</v>
      </c>
      <c r="BW257" s="5">
        <v>17996.0311682222</v>
      </c>
      <c r="BX257">
        <f t="shared" si="32"/>
        <v>-2.4887113278342007E-10</v>
      </c>
    </row>
    <row r="258" spans="13:76" ht="12.75">
      <c r="M258" s="5">
        <v>5.74E-09</v>
      </c>
      <c r="N258" s="5">
        <v>0.24250054587</v>
      </c>
      <c r="O258" s="5">
        <v>9779.1086761254</v>
      </c>
      <c r="P258">
        <f aca="true" t="shared" si="33" ref="P258:P321">M258*COS(N258+O258*$E$16)</f>
        <v>3.3564725251166247E-09</v>
      </c>
      <c r="R258" s="5">
        <v>6.9E-10</v>
      </c>
      <c r="S258" s="5">
        <v>0.96028230548</v>
      </c>
      <c r="T258" s="5">
        <v>14919.0178537546</v>
      </c>
      <c r="U258">
        <f aca="true" t="shared" si="34" ref="U258:U321">R258*COS(S258+T258*$E$16)</f>
        <v>-2.5449402269235227E-10</v>
      </c>
      <c r="BP258" s="5">
        <v>2.18E-09</v>
      </c>
      <c r="BQ258" s="5">
        <v>0.18428135264</v>
      </c>
      <c r="BR258" s="5">
        <v>28286.9904848612</v>
      </c>
      <c r="BS258">
        <f aca="true" t="shared" si="35" ref="BS258:BS321">BP258*COS(BQ258+BR258*$E$16)</f>
        <v>-8.353534023639313E-10</v>
      </c>
      <c r="BU258" s="5">
        <v>2.9E-10</v>
      </c>
      <c r="BV258" s="5">
        <v>4.15148654061</v>
      </c>
      <c r="BW258" s="5">
        <v>45892.7304331569</v>
      </c>
      <c r="BX258">
        <f aca="true" t="shared" si="36" ref="BX258:BX292">BU258*COS(BV258+BW258*$E$16)</f>
        <v>-1.7357523129360644E-10</v>
      </c>
    </row>
    <row r="259" spans="13:76" ht="12.75">
      <c r="M259" s="5">
        <v>5.73E-09</v>
      </c>
      <c r="N259" s="5">
        <v>3.16435264609</v>
      </c>
      <c r="O259" s="5">
        <v>533.2140834436</v>
      </c>
      <c r="P259">
        <f t="shared" si="33"/>
        <v>-5.495192454383258E-09</v>
      </c>
      <c r="R259" s="5">
        <v>7.6E-10</v>
      </c>
      <c r="S259" s="5">
        <v>3.29092216589</v>
      </c>
      <c r="T259" s="5">
        <v>2942.4634232916</v>
      </c>
      <c r="U259">
        <f t="shared" si="34"/>
        <v>-1.1620132279075655E-10</v>
      </c>
      <c r="BP259" s="5">
        <v>2.05E-09</v>
      </c>
      <c r="BQ259" s="5">
        <v>5.21312087405</v>
      </c>
      <c r="BR259" s="5">
        <v>20995.3929664494</v>
      </c>
      <c r="BS259">
        <f t="shared" si="35"/>
        <v>1.331067390524526E-09</v>
      </c>
      <c r="BU259" s="5">
        <v>2.6E-10</v>
      </c>
      <c r="BV259" s="5">
        <v>4.50714272714</v>
      </c>
      <c r="BW259" s="5">
        <v>17796.9591667858</v>
      </c>
      <c r="BX259">
        <f t="shared" si="36"/>
        <v>-2.599965901443426E-10</v>
      </c>
    </row>
    <row r="260" spans="13:76" ht="12.75">
      <c r="M260" s="5">
        <v>6.85E-09</v>
      </c>
      <c r="N260" s="5">
        <v>3.19344289472</v>
      </c>
      <c r="O260" s="5">
        <v>12146.6670561076</v>
      </c>
      <c r="P260">
        <f t="shared" si="33"/>
        <v>1.1451452972350093E-10</v>
      </c>
      <c r="R260" s="5">
        <v>6.3E-10</v>
      </c>
      <c r="S260" s="5">
        <v>4.09167842893</v>
      </c>
      <c r="T260" s="5">
        <v>16062.1845261168</v>
      </c>
      <c r="U260">
        <f t="shared" si="34"/>
        <v>6.07493865992529E-10</v>
      </c>
      <c r="BP260" s="5">
        <v>1.99E-09</v>
      </c>
      <c r="BQ260" s="5">
        <v>0.44384292491</v>
      </c>
      <c r="BR260" s="5">
        <v>16737.5772365966</v>
      </c>
      <c r="BS260">
        <f t="shared" si="35"/>
        <v>3.982303974427367E-10</v>
      </c>
      <c r="BU260" s="5">
        <v>2.7E-10</v>
      </c>
      <c r="BV260" s="5">
        <v>4.72625223674</v>
      </c>
      <c r="BW260" s="5">
        <v>1066.49547719</v>
      </c>
      <c r="BX260">
        <f t="shared" si="36"/>
        <v>1.3967420465437048E-10</v>
      </c>
    </row>
    <row r="261" spans="13:76" ht="12.75">
      <c r="M261" s="5">
        <v>6.75E-09</v>
      </c>
      <c r="N261" s="5">
        <v>0.96179233959</v>
      </c>
      <c r="O261" s="5">
        <v>10454.5013866052</v>
      </c>
      <c r="P261">
        <f t="shared" si="33"/>
        <v>-5.8090922923319064E-09</v>
      </c>
      <c r="R261" s="5">
        <v>6.5E-10</v>
      </c>
      <c r="S261" s="5">
        <v>3.34580407184</v>
      </c>
      <c r="T261" s="5">
        <v>51.28033786241</v>
      </c>
      <c r="U261">
        <f t="shared" si="34"/>
        <v>-4.367870122652173E-10</v>
      </c>
      <c r="BP261" s="5">
        <v>2.3E-09</v>
      </c>
      <c r="BQ261" s="5">
        <v>6.06567392849</v>
      </c>
      <c r="BR261" s="5">
        <v>6287.0080032545</v>
      </c>
      <c r="BS261">
        <f t="shared" si="35"/>
        <v>-3.648172043099658E-11</v>
      </c>
      <c r="BU261" s="5">
        <v>2.5E-10</v>
      </c>
      <c r="BV261" s="5">
        <v>2.89309528854</v>
      </c>
      <c r="BW261" s="5">
        <v>6286.6662786432</v>
      </c>
      <c r="BX261">
        <f t="shared" si="36"/>
        <v>-4.829691932480282E-12</v>
      </c>
    </row>
    <row r="262" spans="13:76" ht="12.75">
      <c r="M262" s="5">
        <v>6.48E-09</v>
      </c>
      <c r="N262" s="5">
        <v>1.46327342555</v>
      </c>
      <c r="O262" s="5">
        <v>6268.8487559898</v>
      </c>
      <c r="P262">
        <f t="shared" si="33"/>
        <v>-6.449451545261817E-09</v>
      </c>
      <c r="R262" s="5">
        <v>6.5E-10</v>
      </c>
      <c r="S262" s="5">
        <v>5.75757544877</v>
      </c>
      <c r="T262" s="5">
        <v>52670.0695933026</v>
      </c>
      <c r="U262">
        <f t="shared" si="34"/>
        <v>3.924691537514722E-10</v>
      </c>
      <c r="BP262" s="5">
        <v>2.19E-09</v>
      </c>
      <c r="BQ262" s="5">
        <v>1.291942163</v>
      </c>
      <c r="BR262" s="5">
        <v>5326.7866940208</v>
      </c>
      <c r="BS262">
        <f t="shared" si="35"/>
        <v>-1.6323878649386229E-09</v>
      </c>
      <c r="BU262" s="5">
        <v>2.7E-10</v>
      </c>
      <c r="BV262" s="5">
        <v>0.37462444357</v>
      </c>
      <c r="BW262" s="5">
        <v>12964.300703391</v>
      </c>
      <c r="BX262">
        <f t="shared" si="36"/>
        <v>-2.1506582882209566E-10</v>
      </c>
    </row>
    <row r="263" spans="13:76" ht="12.75">
      <c r="M263" s="5">
        <v>5.89E-09</v>
      </c>
      <c r="N263" s="5">
        <v>2.50543543638</v>
      </c>
      <c r="O263" s="5">
        <v>3097.88382272579</v>
      </c>
      <c r="P263">
        <f t="shared" si="33"/>
        <v>-5.636808019566314E-09</v>
      </c>
      <c r="R263" s="5">
        <v>6.8E-10</v>
      </c>
      <c r="S263" s="5">
        <v>5.75884067555</v>
      </c>
      <c r="T263" s="5">
        <v>21424.4666443034</v>
      </c>
      <c r="U263">
        <f t="shared" si="34"/>
        <v>1.6037165846024502E-10</v>
      </c>
      <c r="BP263" s="5">
        <v>2.01E-09</v>
      </c>
      <c r="BQ263" s="5">
        <v>1.74700937253</v>
      </c>
      <c r="BR263" s="5">
        <v>22743.4093795164</v>
      </c>
      <c r="BS263">
        <f t="shared" si="35"/>
        <v>-2.883108483472873E-10</v>
      </c>
      <c r="BU263" s="5">
        <v>2.9E-10</v>
      </c>
      <c r="BV263" s="5">
        <v>4.94860010533</v>
      </c>
      <c r="BW263" s="5">
        <v>5863.5912061162</v>
      </c>
      <c r="BX263">
        <f t="shared" si="36"/>
        <v>5.058925397443401E-12</v>
      </c>
    </row>
    <row r="264" spans="13:76" ht="12.75">
      <c r="M264" s="5">
        <v>5.51E-09</v>
      </c>
      <c r="N264" s="5">
        <v>5.28099026956</v>
      </c>
      <c r="O264" s="5">
        <v>9388.0059094152</v>
      </c>
      <c r="P264">
        <f t="shared" si="33"/>
        <v>2.0881973843252912E-09</v>
      </c>
      <c r="R264" s="5">
        <v>5.7E-10</v>
      </c>
      <c r="S264" s="5">
        <v>5.4512239985</v>
      </c>
      <c r="T264" s="5">
        <v>12592.4500197826</v>
      </c>
      <c r="U264">
        <f t="shared" si="34"/>
        <v>-5.645141869937823E-10</v>
      </c>
      <c r="BP264" s="5">
        <v>2.07E-09</v>
      </c>
      <c r="BQ264" s="5">
        <v>4.45440927276</v>
      </c>
      <c r="BR264" s="5">
        <v>6279.4854213396</v>
      </c>
      <c r="BS264">
        <f t="shared" si="35"/>
        <v>2.0558526592253093E-09</v>
      </c>
      <c r="BU264" s="5">
        <v>3.1E-10</v>
      </c>
      <c r="BV264" s="5">
        <v>3.93096113577</v>
      </c>
      <c r="BW264" s="5">
        <v>29864.334027309</v>
      </c>
      <c r="BX264">
        <f t="shared" si="36"/>
        <v>3.095686826296307E-10</v>
      </c>
    </row>
    <row r="265" spans="13:76" ht="12.75">
      <c r="M265" s="5">
        <v>6.96E-09</v>
      </c>
      <c r="N265" s="5">
        <v>3.65342150016</v>
      </c>
      <c r="O265" s="5">
        <v>4804.209275927</v>
      </c>
      <c r="P265">
        <f t="shared" si="33"/>
        <v>6.8421061607107276E-09</v>
      </c>
      <c r="R265" s="5">
        <v>5.7E-10</v>
      </c>
      <c r="S265" s="5">
        <v>5.25043362558</v>
      </c>
      <c r="T265" s="5">
        <v>20995.3929664494</v>
      </c>
      <c r="U265">
        <f t="shared" si="34"/>
        <v>3.8601549181953404E-10</v>
      </c>
      <c r="BP265" s="5">
        <v>2.69E-09</v>
      </c>
      <c r="BQ265" s="5">
        <v>6.0564044503</v>
      </c>
      <c r="BR265" s="5">
        <v>64471.9912417448</v>
      </c>
      <c r="BS265">
        <f t="shared" si="35"/>
        <v>2.629067250487884E-09</v>
      </c>
      <c r="BU265" s="5">
        <v>2.4E-10</v>
      </c>
      <c r="BV265" s="5">
        <v>6.14987193584</v>
      </c>
      <c r="BW265" s="5">
        <v>18606.4989460002</v>
      </c>
      <c r="BX265">
        <f t="shared" si="36"/>
        <v>-1.321105883972519E-10</v>
      </c>
    </row>
    <row r="266" spans="13:76" ht="12.75">
      <c r="M266" s="5">
        <v>6.69E-09</v>
      </c>
      <c r="N266" s="5">
        <v>2.51030077026</v>
      </c>
      <c r="O266" s="5">
        <v>2388.8940204492</v>
      </c>
      <c r="P266">
        <f t="shared" si="33"/>
        <v>6.083186874039673E-09</v>
      </c>
      <c r="R266" s="5">
        <v>7.3E-10</v>
      </c>
      <c r="S266" s="5">
        <v>0.53299090807</v>
      </c>
      <c r="T266" s="5">
        <v>2301.58581590939</v>
      </c>
      <c r="U266">
        <f t="shared" si="34"/>
        <v>-6.330086510690462E-10</v>
      </c>
      <c r="BP266" s="5">
        <v>1.9E-09</v>
      </c>
      <c r="BQ266" s="5">
        <v>0.99256176518</v>
      </c>
      <c r="BR266" s="5">
        <v>29296.6153895786</v>
      </c>
      <c r="BS266">
        <f t="shared" si="35"/>
        <v>-1.6318138286056507E-09</v>
      </c>
      <c r="BU266" s="5">
        <v>2.4E-10</v>
      </c>
      <c r="BV266" s="5">
        <v>3.74225964547</v>
      </c>
      <c r="BW266" s="5">
        <v>29026.4852295077</v>
      </c>
      <c r="BX266">
        <f t="shared" si="36"/>
        <v>-1.0775173971554772E-10</v>
      </c>
    </row>
    <row r="267" spans="13:76" ht="12.75">
      <c r="M267" s="5">
        <v>5.5E-09</v>
      </c>
      <c r="N267" s="5">
        <v>0.06883864342</v>
      </c>
      <c r="O267" s="5">
        <v>20199.094959633</v>
      </c>
      <c r="P267">
        <f t="shared" si="33"/>
        <v>-5.482963982791671E-09</v>
      </c>
      <c r="R267" s="5">
        <v>7E-10</v>
      </c>
      <c r="S267" s="5">
        <v>4.31243357502</v>
      </c>
      <c r="T267" s="5">
        <v>19402.7969528166</v>
      </c>
      <c r="U267">
        <f t="shared" si="34"/>
        <v>-5.487733493307359E-10</v>
      </c>
      <c r="BP267" s="5">
        <v>2.38E-09</v>
      </c>
      <c r="BQ267" s="5">
        <v>5.42471431221</v>
      </c>
      <c r="BR267" s="5">
        <v>39609.6545831656</v>
      </c>
      <c r="BS267">
        <f t="shared" si="35"/>
        <v>-3.7686231576828773E-10</v>
      </c>
      <c r="BU267" s="5">
        <v>2.5E-10</v>
      </c>
      <c r="BV267" s="5">
        <v>5.70460621565</v>
      </c>
      <c r="BW267" s="5">
        <v>27707.5424942948</v>
      </c>
      <c r="BX267">
        <f t="shared" si="36"/>
        <v>2.331777855423116E-10</v>
      </c>
    </row>
    <row r="268" spans="13:76" ht="12.75">
      <c r="M268" s="5">
        <v>6.29E-09</v>
      </c>
      <c r="N268" s="5">
        <v>4.13350995675</v>
      </c>
      <c r="O268" s="5">
        <v>45892.7304331569</v>
      </c>
      <c r="P268">
        <f t="shared" si="33"/>
        <v>-3.6736013502834055E-09</v>
      </c>
      <c r="R268" s="5">
        <v>6.7E-10</v>
      </c>
      <c r="S268" s="5">
        <v>2.53852336668</v>
      </c>
      <c r="T268" s="5">
        <v>377.3736079158</v>
      </c>
      <c r="U268">
        <f t="shared" si="34"/>
        <v>4.2203811922552917E-10</v>
      </c>
      <c r="BP268" s="5">
        <v>2.62E-09</v>
      </c>
      <c r="BQ268" s="5">
        <v>5.26961924198</v>
      </c>
      <c r="BR268" s="5">
        <v>522.5774180938</v>
      </c>
      <c r="BS268">
        <f t="shared" si="35"/>
        <v>1.6699976674654284E-09</v>
      </c>
      <c r="BU268" s="5">
        <v>2.5E-10</v>
      </c>
      <c r="BV268" s="5">
        <v>5.33928840652</v>
      </c>
      <c r="BW268" s="5">
        <v>15141.390794312</v>
      </c>
      <c r="BX268">
        <f t="shared" si="36"/>
        <v>-2.3339173037693443E-10</v>
      </c>
    </row>
    <row r="269" spans="13:76" ht="12.75">
      <c r="M269" s="5">
        <v>6.78E-09</v>
      </c>
      <c r="N269" s="5">
        <v>6.09190163533</v>
      </c>
      <c r="O269" s="5">
        <v>135.62532501</v>
      </c>
      <c r="P269">
        <f t="shared" si="33"/>
        <v>6.542372212111509E-10</v>
      </c>
      <c r="R269" s="5">
        <v>5.6E-10</v>
      </c>
      <c r="S269" s="5">
        <v>3.20816844695</v>
      </c>
      <c r="T269" s="5">
        <v>24889.5747959916</v>
      </c>
      <c r="U269">
        <f t="shared" si="34"/>
        <v>3.1754017495031186E-10</v>
      </c>
      <c r="BP269" s="5">
        <v>2.1E-09</v>
      </c>
      <c r="BQ269" s="5">
        <v>4.68618183158</v>
      </c>
      <c r="BR269" s="5">
        <v>6254.6266625236</v>
      </c>
      <c r="BS269">
        <f t="shared" si="35"/>
        <v>2.06202396474262E-09</v>
      </c>
      <c r="BU269" s="5">
        <v>2.7E-10</v>
      </c>
      <c r="BV269" s="5">
        <v>3.0232089714</v>
      </c>
      <c r="BW269" s="5">
        <v>6286.3622074092</v>
      </c>
      <c r="BX269">
        <f t="shared" si="36"/>
        <v>2.8850963149940166E-11</v>
      </c>
    </row>
    <row r="270" spans="13:76" ht="12.75">
      <c r="M270" s="5">
        <v>5.93E-09</v>
      </c>
      <c r="N270" s="5">
        <v>1.50136257618</v>
      </c>
      <c r="O270" s="5">
        <v>226858.23855437</v>
      </c>
      <c r="P270">
        <f t="shared" si="33"/>
        <v>-4.708728952524261E-09</v>
      </c>
      <c r="R270" s="5">
        <v>5.3E-10</v>
      </c>
      <c r="S270" s="5">
        <v>3.17816599142</v>
      </c>
      <c r="T270" s="5">
        <v>18451.0785465659</v>
      </c>
      <c r="U270">
        <f t="shared" si="34"/>
        <v>-4.849929206910601E-10</v>
      </c>
      <c r="BP270" s="5">
        <v>1.97E-09</v>
      </c>
      <c r="BQ270" s="5">
        <v>2.8062455408</v>
      </c>
      <c r="BR270" s="5">
        <v>4933.2084403326</v>
      </c>
      <c r="BS270">
        <f t="shared" si="35"/>
        <v>1.6768192926160405E-09</v>
      </c>
      <c r="BU270" s="5">
        <v>2.3E-10</v>
      </c>
      <c r="BV270" s="5">
        <v>0.28364955406</v>
      </c>
      <c r="BW270" s="5">
        <v>5327.4761083828</v>
      </c>
      <c r="BX270">
        <f t="shared" si="36"/>
        <v>-2.2165877275303437E-10</v>
      </c>
    </row>
    <row r="271" spans="13:76" ht="12.75">
      <c r="M271" s="5">
        <v>5.42E-09</v>
      </c>
      <c r="N271" s="5">
        <v>3.58573645173</v>
      </c>
      <c r="O271" s="5">
        <v>6148.010769956</v>
      </c>
      <c r="P271">
        <f t="shared" si="33"/>
        <v>-4.644670186974075E-09</v>
      </c>
      <c r="R271" s="5">
        <v>5.3E-10</v>
      </c>
      <c r="S271" s="5">
        <v>3.61529270216</v>
      </c>
      <c r="T271" s="5">
        <v>77.673770428</v>
      </c>
      <c r="U271">
        <f t="shared" si="34"/>
        <v>-7.568297747179662E-11</v>
      </c>
      <c r="BP271" s="5">
        <v>2.52E-09</v>
      </c>
      <c r="BQ271" s="5">
        <v>4.36220154608</v>
      </c>
      <c r="BR271" s="5">
        <v>40879.4405046438</v>
      </c>
      <c r="BS271">
        <f t="shared" si="35"/>
        <v>-2.1458695383231798E-09</v>
      </c>
      <c r="BU271" s="5">
        <v>2.6E-10</v>
      </c>
      <c r="BV271" s="5">
        <v>1.34240461687</v>
      </c>
      <c r="BW271" s="5">
        <v>18875.525869774</v>
      </c>
      <c r="BX271">
        <f t="shared" si="36"/>
        <v>2.0701209648309156E-10</v>
      </c>
    </row>
    <row r="272" spans="13:76" ht="12.75">
      <c r="M272" s="5">
        <v>6.82E-09</v>
      </c>
      <c r="N272" s="5">
        <v>5.02203067788</v>
      </c>
      <c r="O272" s="5">
        <v>17253.0411076895</v>
      </c>
      <c r="P272">
        <f t="shared" si="33"/>
        <v>-6.775873769242007E-09</v>
      </c>
      <c r="R272" s="5">
        <v>5.3E-10</v>
      </c>
      <c r="S272" s="5">
        <v>0.45467549335</v>
      </c>
      <c r="T272" s="5">
        <v>30666.1549584328</v>
      </c>
      <c r="U272">
        <f t="shared" si="34"/>
        <v>5.296960375865082E-10</v>
      </c>
      <c r="BP272" s="5">
        <v>2.61E-09</v>
      </c>
      <c r="BQ272" s="5">
        <v>1.07241516738</v>
      </c>
      <c r="BR272" s="5">
        <v>55022.9357470744</v>
      </c>
      <c r="BS272">
        <f t="shared" si="35"/>
        <v>-7.143117875165018E-10</v>
      </c>
      <c r="BU272" s="5">
        <v>2.4E-10</v>
      </c>
      <c r="BV272" s="5">
        <v>1.33998410121</v>
      </c>
      <c r="BW272" s="5">
        <v>19800.9459562248</v>
      </c>
      <c r="BX272">
        <f t="shared" si="36"/>
        <v>2.0395978774618792E-10</v>
      </c>
    </row>
    <row r="273" spans="13:76" ht="12.75">
      <c r="M273" s="5">
        <v>5.65E-09</v>
      </c>
      <c r="N273" s="5">
        <v>4.2930923861</v>
      </c>
      <c r="O273" s="5">
        <v>11933.3679606696</v>
      </c>
      <c r="P273">
        <f t="shared" si="33"/>
        <v>5.646640849852617E-09</v>
      </c>
      <c r="R273" s="5">
        <v>6.1E-10</v>
      </c>
      <c r="S273" s="5">
        <v>0.14807288453</v>
      </c>
      <c r="T273" s="5">
        <v>23013.5395395872</v>
      </c>
      <c r="U273">
        <f t="shared" si="34"/>
        <v>6.09996386271161E-10</v>
      </c>
      <c r="BP273" s="5">
        <v>1.89E-09</v>
      </c>
      <c r="BQ273" s="5">
        <v>3.82966734476</v>
      </c>
      <c r="BR273" s="5">
        <v>419.4846438752</v>
      </c>
      <c r="BS273">
        <f t="shared" si="35"/>
        <v>-1.706765587020916E-09</v>
      </c>
      <c r="BU273" s="5">
        <v>2.5E-10</v>
      </c>
      <c r="BV273" s="5">
        <v>6.00172494004</v>
      </c>
      <c r="BW273" s="5">
        <v>6489.2613984286</v>
      </c>
      <c r="BX273">
        <f t="shared" si="36"/>
        <v>-1.6221287278241203E-10</v>
      </c>
    </row>
    <row r="274" spans="13:76" ht="12.75">
      <c r="M274" s="5">
        <v>4.86E-09</v>
      </c>
      <c r="N274" s="5">
        <v>0.77746204893</v>
      </c>
      <c r="O274" s="5">
        <v>27.4015560968</v>
      </c>
      <c r="P274">
        <f t="shared" si="33"/>
        <v>2.1438689040903502E-09</v>
      </c>
      <c r="R274" s="5">
        <v>5.1E-10</v>
      </c>
      <c r="S274" s="5">
        <v>3.32803972907</v>
      </c>
      <c r="T274" s="5">
        <v>56.8983749356</v>
      </c>
      <c r="U274">
        <f t="shared" si="34"/>
        <v>-3.229222134711897E-10</v>
      </c>
      <c r="BP274" s="5">
        <v>1.85E-09</v>
      </c>
      <c r="BQ274" s="5">
        <v>4.14324541379</v>
      </c>
      <c r="BR274" s="5">
        <v>5642.1982426092</v>
      </c>
      <c r="BS274">
        <f t="shared" si="35"/>
        <v>-7.201519397238894E-10</v>
      </c>
      <c r="BU274" s="5">
        <v>2.2E-10</v>
      </c>
      <c r="BV274" s="5">
        <v>1.81777974484</v>
      </c>
      <c r="BW274" s="5">
        <v>6288.5987742988</v>
      </c>
      <c r="BX274">
        <f t="shared" si="36"/>
        <v>-1.9307963531146664E-10</v>
      </c>
    </row>
    <row r="275" spans="13:76" ht="12.75">
      <c r="M275" s="5">
        <v>5.03E-09</v>
      </c>
      <c r="N275" s="5">
        <v>0.58963565969</v>
      </c>
      <c r="O275" s="5">
        <v>15671.0817594066</v>
      </c>
      <c r="P275">
        <f t="shared" si="33"/>
        <v>-9.132577278095435E-10</v>
      </c>
      <c r="R275" s="5">
        <v>5.2E-10</v>
      </c>
      <c r="S275" s="5">
        <v>3.41177624177</v>
      </c>
      <c r="T275" s="5">
        <v>23141.5583829246</v>
      </c>
      <c r="U275">
        <f t="shared" si="34"/>
        <v>6.575216372734985E-11</v>
      </c>
      <c r="BP275" s="5">
        <v>2.47E-09</v>
      </c>
      <c r="BQ275" s="5">
        <v>3.44855612987</v>
      </c>
      <c r="BR275" s="5">
        <v>6702.5604938666</v>
      </c>
      <c r="BS275">
        <f t="shared" si="35"/>
        <v>-1.4750728372567047E-09</v>
      </c>
      <c r="BU275" s="5">
        <v>2.2E-10</v>
      </c>
      <c r="BV275" s="5">
        <v>3.5860360664</v>
      </c>
      <c r="BW275" s="5">
        <v>6915.8595893046</v>
      </c>
      <c r="BX275">
        <f t="shared" si="36"/>
        <v>1.8802226471629416E-10</v>
      </c>
    </row>
    <row r="276" spans="13:76" ht="12.75">
      <c r="M276" s="5">
        <v>6.16E-09</v>
      </c>
      <c r="N276" s="5">
        <v>4.06539884128</v>
      </c>
      <c r="O276" s="5">
        <v>227.476132789</v>
      </c>
      <c r="P276">
        <f t="shared" si="33"/>
        <v>5.1675955608873666E-09</v>
      </c>
      <c r="R276" s="5">
        <v>5.8E-10</v>
      </c>
      <c r="S276" s="5">
        <v>3.13638677202</v>
      </c>
      <c r="T276" s="5">
        <v>309.2783226558</v>
      </c>
      <c r="U276">
        <f t="shared" si="34"/>
        <v>4.6136411265694084E-10</v>
      </c>
      <c r="BP276" s="5">
        <v>2.05E-09</v>
      </c>
      <c r="BQ276" s="5">
        <v>4.04424043223</v>
      </c>
      <c r="BR276" s="5">
        <v>536.8045120954</v>
      </c>
      <c r="BS276">
        <f t="shared" si="35"/>
        <v>-7.213001398018033E-10</v>
      </c>
      <c r="BU276" s="5">
        <v>2.9E-10</v>
      </c>
      <c r="BV276" s="5">
        <v>2.09564449439</v>
      </c>
      <c r="BW276" s="5">
        <v>15265.8865193004</v>
      </c>
      <c r="BX276">
        <f t="shared" si="36"/>
        <v>1.4173279525925816E-10</v>
      </c>
    </row>
    <row r="277" spans="13:76" ht="12.75">
      <c r="M277" s="5">
        <v>5.83E-09</v>
      </c>
      <c r="N277" s="5">
        <v>6.12695541996</v>
      </c>
      <c r="O277" s="5">
        <v>18875.525869774</v>
      </c>
      <c r="P277">
        <f t="shared" si="33"/>
        <v>3.852836130065875E-09</v>
      </c>
      <c r="R277" s="5">
        <v>7E-10</v>
      </c>
      <c r="S277" s="5">
        <v>2.50592323465</v>
      </c>
      <c r="T277" s="5">
        <v>31415.379249957</v>
      </c>
      <c r="U277">
        <f t="shared" si="34"/>
        <v>2.0001303599221642E-10</v>
      </c>
      <c r="BP277" s="5">
        <v>1.91E-09</v>
      </c>
      <c r="BQ277" s="5">
        <v>3.14082686083</v>
      </c>
      <c r="BR277" s="5">
        <v>16723.350142595</v>
      </c>
      <c r="BS277">
        <f t="shared" si="35"/>
        <v>7.750478032996188E-10</v>
      </c>
      <c r="BU277" s="5">
        <v>2.2E-10</v>
      </c>
      <c r="BV277" s="5">
        <v>1.02173599251</v>
      </c>
      <c r="BW277" s="5">
        <v>11925.2740926006</v>
      </c>
      <c r="BX277">
        <f t="shared" si="36"/>
        <v>-2.1584458392649286E-10</v>
      </c>
    </row>
    <row r="278" spans="13:76" ht="12.75">
      <c r="M278" s="5">
        <v>5.37E-09</v>
      </c>
      <c r="N278" s="5">
        <v>2.1505644098</v>
      </c>
      <c r="O278" s="5">
        <v>21954.1576093979</v>
      </c>
      <c r="P278">
        <f t="shared" si="33"/>
        <v>3.9492023070323705E-11</v>
      </c>
      <c r="R278" s="5">
        <v>5.2E-10</v>
      </c>
      <c r="S278" s="5">
        <v>5.10673376738</v>
      </c>
      <c r="T278" s="5">
        <v>17796.9591667858</v>
      </c>
      <c r="U278">
        <f t="shared" si="34"/>
        <v>-4.30791767709545E-10</v>
      </c>
      <c r="BP278" s="5">
        <v>2.22E-09</v>
      </c>
      <c r="BQ278" s="5">
        <v>5.16263907319</v>
      </c>
      <c r="BR278" s="5">
        <v>23539.7073863328</v>
      </c>
      <c r="BS278">
        <f t="shared" si="35"/>
        <v>1.0322367036864408E-09</v>
      </c>
      <c r="BU278" s="5">
        <v>2.2E-10</v>
      </c>
      <c r="BV278" s="5">
        <v>4.74660932338</v>
      </c>
      <c r="BW278" s="5">
        <v>28230.1872226913</v>
      </c>
      <c r="BX278">
        <f t="shared" si="36"/>
        <v>1.9768125462374872E-10</v>
      </c>
    </row>
    <row r="279" spans="13:76" ht="12.75">
      <c r="M279" s="5">
        <v>6.69E-09</v>
      </c>
      <c r="N279" s="5">
        <v>6.06986269566</v>
      </c>
      <c r="O279" s="5">
        <v>47162.5163546352</v>
      </c>
      <c r="P279">
        <f t="shared" si="33"/>
        <v>4.294211501971474E-09</v>
      </c>
      <c r="R279" s="5">
        <v>6.7E-10</v>
      </c>
      <c r="S279" s="5">
        <v>6.27917920454</v>
      </c>
      <c r="T279" s="5">
        <v>22345.2603761082</v>
      </c>
      <c r="U279">
        <f t="shared" si="34"/>
        <v>-3.2174644706277166E-10</v>
      </c>
      <c r="BP279" s="5">
        <v>1.8E-09</v>
      </c>
      <c r="BQ279" s="5">
        <v>4.56214752149</v>
      </c>
      <c r="BR279" s="5">
        <v>6489.2613984286</v>
      </c>
      <c r="BS279">
        <f t="shared" si="35"/>
        <v>-1.510687896353863E-09</v>
      </c>
      <c r="BU279" s="5">
        <v>2.1E-10</v>
      </c>
      <c r="BV279" s="5">
        <v>2.30688751432</v>
      </c>
      <c r="BW279" s="5">
        <v>5999.2165311262</v>
      </c>
      <c r="BX279">
        <f t="shared" si="36"/>
        <v>1.759932879679192E-10</v>
      </c>
    </row>
    <row r="280" spans="13:76" ht="12.75">
      <c r="M280" s="5">
        <v>4.75E-09</v>
      </c>
      <c r="N280" s="5">
        <v>0.4034384211</v>
      </c>
      <c r="O280" s="5">
        <v>6915.8595893046</v>
      </c>
      <c r="P280">
        <f t="shared" si="33"/>
        <v>-4.157259335271006E-09</v>
      </c>
      <c r="R280" s="5">
        <v>5E-10</v>
      </c>
      <c r="S280" s="5">
        <v>0.42577644151</v>
      </c>
      <c r="T280" s="5">
        <v>25685.872802808</v>
      </c>
      <c r="U280">
        <f t="shared" si="34"/>
        <v>-5.478862511714897E-11</v>
      </c>
      <c r="BP280" s="5">
        <v>2.19E-09</v>
      </c>
      <c r="BQ280" s="5">
        <v>0.80382553358</v>
      </c>
      <c r="BR280" s="5">
        <v>16627.3709153772</v>
      </c>
      <c r="BS280">
        <f t="shared" si="35"/>
        <v>-1.5585053045811963E-09</v>
      </c>
      <c r="BU280" s="5">
        <v>2.1E-10</v>
      </c>
      <c r="BV280" s="5">
        <v>3.2265494443</v>
      </c>
      <c r="BW280" s="5">
        <v>25934.1243310894</v>
      </c>
      <c r="BX280">
        <f t="shared" si="36"/>
        <v>6.688911530605833E-11</v>
      </c>
    </row>
    <row r="281" spans="13:76" ht="12.75">
      <c r="M281" s="5">
        <v>5.4E-09</v>
      </c>
      <c r="N281" s="5">
        <v>2.83444222174</v>
      </c>
      <c r="O281" s="5">
        <v>5326.7866940208</v>
      </c>
      <c r="P281">
        <f t="shared" si="33"/>
        <v>3.4845192252211757E-09</v>
      </c>
      <c r="R281" s="5">
        <v>4.8E-10</v>
      </c>
      <c r="S281" s="5">
        <v>0.70204553333</v>
      </c>
      <c r="T281" s="5">
        <v>1162.4747044078</v>
      </c>
      <c r="U281">
        <f t="shared" si="34"/>
        <v>-3.573281487034772E-10</v>
      </c>
      <c r="BP281" s="5">
        <v>2.27E-09</v>
      </c>
      <c r="BQ281" s="5">
        <v>0.60156339452</v>
      </c>
      <c r="BR281" s="5">
        <v>5905.7022420756</v>
      </c>
      <c r="BS281">
        <f t="shared" si="35"/>
        <v>-1.4723845435135723E-09</v>
      </c>
      <c r="BU281" s="5">
        <v>2.1E-10</v>
      </c>
      <c r="BV281" s="5">
        <v>3.04956726238</v>
      </c>
      <c r="BW281" s="5">
        <v>6566.9351688566</v>
      </c>
      <c r="BX281">
        <f t="shared" si="36"/>
        <v>-8.890910011796153E-11</v>
      </c>
    </row>
    <row r="282" spans="13:76" ht="12.75">
      <c r="M282" s="5">
        <v>5.3E-09</v>
      </c>
      <c r="N282" s="5">
        <v>5.26359885263</v>
      </c>
      <c r="O282" s="5">
        <v>10988.808157535</v>
      </c>
      <c r="P282">
        <f t="shared" si="33"/>
        <v>-2.0721217736462265E-09</v>
      </c>
      <c r="R282" s="5">
        <v>6.6E-10</v>
      </c>
      <c r="S282" s="5">
        <v>3.64350022359</v>
      </c>
      <c r="T282" s="5">
        <v>15265.8865193004</v>
      </c>
      <c r="U282">
        <f t="shared" si="34"/>
        <v>-5.682550864452941E-10</v>
      </c>
      <c r="BP282" s="5">
        <v>1.68E-09</v>
      </c>
      <c r="BQ282" s="5">
        <v>0.88753528161</v>
      </c>
      <c r="BR282" s="5">
        <v>16062.1845261168</v>
      </c>
      <c r="BS282">
        <f t="shared" si="35"/>
        <v>-1.6446343193456383E-09</v>
      </c>
      <c r="BU282" s="5">
        <v>2.7E-10</v>
      </c>
      <c r="BV282" s="5">
        <v>5.35653084499</v>
      </c>
      <c r="BW282" s="5">
        <v>33794.5437235286</v>
      </c>
      <c r="BX282">
        <f t="shared" si="36"/>
        <v>2.1801052975511231E-10</v>
      </c>
    </row>
    <row r="283" spans="13:76" ht="12.75">
      <c r="M283" s="5">
        <v>5.82E-09</v>
      </c>
      <c r="N283" s="5">
        <v>3.24533095664</v>
      </c>
      <c r="O283" s="5">
        <v>153.7788104848</v>
      </c>
      <c r="P283">
        <f t="shared" si="33"/>
        <v>2.3800471348321572E-09</v>
      </c>
      <c r="R283" s="5">
        <v>5E-10</v>
      </c>
      <c r="S283" s="5">
        <v>5.7438291744</v>
      </c>
      <c r="T283" s="5">
        <v>19.66976089979</v>
      </c>
      <c r="U283">
        <f t="shared" si="34"/>
        <v>4.779895302492646E-10</v>
      </c>
      <c r="BP283" s="5">
        <v>1.58E-09</v>
      </c>
      <c r="BQ283" s="5">
        <v>0.92127725775</v>
      </c>
      <c r="BR283" s="5">
        <v>23937.856389741</v>
      </c>
      <c r="BS283">
        <f t="shared" si="35"/>
        <v>1.4298999206766534E-09</v>
      </c>
      <c r="BU283" s="5">
        <v>2.8E-10</v>
      </c>
      <c r="BV283" s="5">
        <v>3.91168324815</v>
      </c>
      <c r="BW283" s="5">
        <v>18208.349942592</v>
      </c>
      <c r="BX283">
        <f t="shared" si="36"/>
        <v>7.231433077071123E-11</v>
      </c>
    </row>
    <row r="284" spans="13:76" ht="12.75">
      <c r="M284" s="5">
        <v>6.41E-09</v>
      </c>
      <c r="N284" s="5">
        <v>3.24711791371</v>
      </c>
      <c r="O284" s="5">
        <v>2107.0345075424</v>
      </c>
      <c r="P284">
        <f t="shared" si="33"/>
        <v>-4.24743693499482E-09</v>
      </c>
      <c r="R284" s="5">
        <v>5E-10</v>
      </c>
      <c r="S284" s="5">
        <v>4.69825387775</v>
      </c>
      <c r="T284" s="5">
        <v>28237.2334593894</v>
      </c>
      <c r="U284">
        <f t="shared" si="34"/>
        <v>4.573221153310142E-10</v>
      </c>
      <c r="BP284" s="5">
        <v>1.57E-09</v>
      </c>
      <c r="BQ284" s="5">
        <v>4.69607868164</v>
      </c>
      <c r="BR284" s="5">
        <v>6805.6532680852</v>
      </c>
      <c r="BS284">
        <f t="shared" si="35"/>
        <v>1.498633408639517E-09</v>
      </c>
      <c r="BU284" s="5">
        <v>2E-10</v>
      </c>
      <c r="BV284" s="5">
        <v>1.52296293311</v>
      </c>
      <c r="BW284" s="5">
        <v>135.0650800354</v>
      </c>
      <c r="BX284">
        <f t="shared" si="36"/>
        <v>-1.9984061974791878E-10</v>
      </c>
    </row>
    <row r="285" spans="13:76" ht="12.75">
      <c r="M285" s="5">
        <v>6.21E-09</v>
      </c>
      <c r="N285" s="5">
        <v>3.09698523779</v>
      </c>
      <c r="O285" s="5">
        <v>33019.0211122046</v>
      </c>
      <c r="P285">
        <f t="shared" si="33"/>
        <v>6.137762739612209E-09</v>
      </c>
      <c r="R285" s="5">
        <v>4.7E-10</v>
      </c>
      <c r="S285" s="5">
        <v>5.74015846442</v>
      </c>
      <c r="T285" s="5">
        <v>12139.5535091068</v>
      </c>
      <c r="U285">
        <f t="shared" si="34"/>
        <v>-3.02403737115343E-10</v>
      </c>
      <c r="BP285" s="5">
        <v>2.07E-09</v>
      </c>
      <c r="BQ285" s="5">
        <v>4.88410451334</v>
      </c>
      <c r="BR285" s="5">
        <v>6286.6662786432</v>
      </c>
      <c r="BS285">
        <f t="shared" si="35"/>
        <v>1.9058757116147833E-09</v>
      </c>
      <c r="BU285" s="5">
        <v>2.2E-10</v>
      </c>
      <c r="BV285" s="5">
        <v>4.66462839521</v>
      </c>
      <c r="BW285" s="5">
        <v>13362.4497067992</v>
      </c>
      <c r="BX285">
        <f t="shared" si="36"/>
        <v>1.376346287119924E-10</v>
      </c>
    </row>
    <row r="286" spans="13:76" ht="12.75">
      <c r="M286" s="5">
        <v>4.66E-09</v>
      </c>
      <c r="N286" s="5">
        <v>3.14982372198</v>
      </c>
      <c r="O286" s="5">
        <v>10440.2742926036</v>
      </c>
      <c r="P286">
        <f t="shared" si="33"/>
        <v>3.861970022150655E-09</v>
      </c>
      <c r="R286" s="5">
        <v>5.4E-10</v>
      </c>
      <c r="S286" s="5">
        <v>1.97301333704</v>
      </c>
      <c r="T286" s="5">
        <v>23581.2581773176</v>
      </c>
      <c r="U286">
        <f t="shared" si="34"/>
        <v>-4.37921052921506E-10</v>
      </c>
      <c r="BP286" s="5">
        <v>1.6E-09</v>
      </c>
      <c r="BQ286" s="5">
        <v>4.95943826846</v>
      </c>
      <c r="BR286" s="5">
        <v>10021.8372800994</v>
      </c>
      <c r="BS286">
        <f t="shared" si="35"/>
        <v>-1.1363473070415576E-09</v>
      </c>
      <c r="BU286" s="5">
        <v>1.9E-10</v>
      </c>
      <c r="BV286" s="5">
        <v>1.78121167862</v>
      </c>
      <c r="BW286" s="5">
        <v>156137.475984799</v>
      </c>
      <c r="BX286">
        <f t="shared" si="36"/>
        <v>-1.7387448097262563E-10</v>
      </c>
    </row>
    <row r="287" spans="13:76" ht="12.75">
      <c r="M287" s="5">
        <v>4.66E-09</v>
      </c>
      <c r="N287" s="5">
        <v>0.90708835657</v>
      </c>
      <c r="O287" s="5">
        <v>5966.6839803348</v>
      </c>
      <c r="P287">
        <f t="shared" si="33"/>
        <v>1.5916899325999457E-09</v>
      </c>
      <c r="R287" s="5">
        <v>4.9E-10</v>
      </c>
      <c r="S287" s="5">
        <v>4.98223579027</v>
      </c>
      <c r="T287" s="5">
        <v>10021.8372800994</v>
      </c>
      <c r="U287">
        <f t="shared" si="34"/>
        <v>-3.557792918437753E-10</v>
      </c>
      <c r="BP287" s="5">
        <v>1.66E-09</v>
      </c>
      <c r="BQ287" s="5">
        <v>0.97126433565</v>
      </c>
      <c r="BR287" s="5">
        <v>3097.88382272579</v>
      </c>
      <c r="BS287">
        <f t="shared" si="35"/>
        <v>4.229791427255057E-10</v>
      </c>
      <c r="BU287" s="5">
        <v>1.9E-10</v>
      </c>
      <c r="BV287" s="5">
        <v>2.99969102221</v>
      </c>
      <c r="BW287" s="5">
        <v>19651.048481098</v>
      </c>
      <c r="BX287">
        <f t="shared" si="36"/>
        <v>1.4080583650977474E-10</v>
      </c>
    </row>
    <row r="288" spans="13:76" ht="12.75">
      <c r="M288" s="5">
        <v>5.28E-09</v>
      </c>
      <c r="N288" s="5">
        <v>0.8192645447</v>
      </c>
      <c r="O288" s="5">
        <v>813.5502839598</v>
      </c>
      <c r="P288">
        <f t="shared" si="33"/>
        <v>-9.77358093674482E-10</v>
      </c>
      <c r="R288" s="5">
        <v>4.6E-10</v>
      </c>
      <c r="S288" s="5">
        <v>5.41431705539</v>
      </c>
      <c r="T288" s="5">
        <v>33019.0211122046</v>
      </c>
      <c r="U288">
        <f t="shared" si="34"/>
        <v>-3.601048952044462E-10</v>
      </c>
      <c r="BP288" s="5">
        <v>2.09E-09</v>
      </c>
      <c r="BQ288" s="5">
        <v>5.75663411805</v>
      </c>
      <c r="BR288" s="5">
        <v>3646.3503773544</v>
      </c>
      <c r="BS288">
        <f t="shared" si="35"/>
        <v>2.0158690256119198E-09</v>
      </c>
      <c r="BU288" s="5">
        <v>1.9E-10</v>
      </c>
      <c r="BV288" s="5">
        <v>2.86664273362</v>
      </c>
      <c r="BW288" s="5">
        <v>18422.6293590981</v>
      </c>
      <c r="BX288">
        <f t="shared" si="36"/>
        <v>-1.8428998250363118E-10</v>
      </c>
    </row>
    <row r="289" spans="13:76" ht="12.75">
      <c r="M289" s="5">
        <v>6.03E-09</v>
      </c>
      <c r="N289" s="5">
        <v>3.81378921927</v>
      </c>
      <c r="O289" s="5">
        <v>316428.228673915</v>
      </c>
      <c r="P289">
        <f t="shared" si="33"/>
        <v>5.956005809978107E-09</v>
      </c>
      <c r="R289" s="5">
        <v>5.1E-10</v>
      </c>
      <c r="S289" s="5">
        <v>1.23882053879</v>
      </c>
      <c r="T289" s="5">
        <v>12539.853380183</v>
      </c>
      <c r="U289">
        <f t="shared" si="34"/>
        <v>-1.4326025307480255E-10</v>
      </c>
      <c r="BP289" s="5">
        <v>1.75E-09</v>
      </c>
      <c r="BQ289" s="5">
        <v>6.12762824412</v>
      </c>
      <c r="BR289" s="5">
        <v>239424.390254352</v>
      </c>
      <c r="BS289">
        <f t="shared" si="35"/>
        <v>1.4105411425683297E-09</v>
      </c>
      <c r="BU289" s="5">
        <v>2.5E-10</v>
      </c>
      <c r="BV289" s="5">
        <v>0.94995632141</v>
      </c>
      <c r="BW289" s="5">
        <v>31415.379249957</v>
      </c>
      <c r="BX289">
        <f t="shared" si="36"/>
        <v>-2.384917072970059E-10</v>
      </c>
    </row>
    <row r="290" spans="13:76" ht="12.75">
      <c r="M290" s="5">
        <v>5.59E-09</v>
      </c>
      <c r="N290" s="5">
        <v>1.81894804124</v>
      </c>
      <c r="O290" s="5">
        <v>17996.0311682222</v>
      </c>
      <c r="P290">
        <f t="shared" si="33"/>
        <v>-5.417907261252723E-09</v>
      </c>
      <c r="R290" s="5">
        <v>4.6E-10</v>
      </c>
      <c r="S290" s="5">
        <v>2.41369976086</v>
      </c>
      <c r="T290" s="5">
        <v>98068.5367163053</v>
      </c>
      <c r="U290">
        <f t="shared" si="34"/>
        <v>4.4058820600458396E-10</v>
      </c>
      <c r="BP290" s="5">
        <v>1.73E-09</v>
      </c>
      <c r="BQ290" s="5">
        <v>3.13887234973</v>
      </c>
      <c r="BR290" s="5">
        <v>6179.9830757728</v>
      </c>
      <c r="BS290">
        <f t="shared" si="35"/>
        <v>-1.528694408018302E-09</v>
      </c>
      <c r="BU290" s="5">
        <v>1.9E-10</v>
      </c>
      <c r="BV290" s="5">
        <v>4.71432851499</v>
      </c>
      <c r="BW290" s="5">
        <v>77690.7595057384</v>
      </c>
      <c r="BX290">
        <f t="shared" si="36"/>
        <v>-1.6241674759153568E-10</v>
      </c>
    </row>
    <row r="291" spans="13:76" ht="12.75">
      <c r="M291" s="5">
        <v>4.37E-09</v>
      </c>
      <c r="N291" s="5">
        <v>2.28625594435</v>
      </c>
      <c r="O291" s="5">
        <v>6303.8512454838</v>
      </c>
      <c r="P291">
        <f t="shared" si="33"/>
        <v>-1.7624741119184708E-09</v>
      </c>
      <c r="R291" s="5">
        <v>4.4E-10</v>
      </c>
      <c r="S291" s="5">
        <v>0.80750593746</v>
      </c>
      <c r="T291" s="5">
        <v>167283.761587665</v>
      </c>
      <c r="U291">
        <f t="shared" si="34"/>
        <v>4.060222392605419E-10</v>
      </c>
      <c r="BP291" s="5">
        <v>1.57E-09</v>
      </c>
      <c r="BQ291" s="5">
        <v>3.62822058179</v>
      </c>
      <c r="BR291" s="5">
        <v>18451.0785465659</v>
      </c>
      <c r="BS291">
        <f t="shared" si="35"/>
        <v>-1.0181950205025222E-09</v>
      </c>
      <c r="BU291" s="5">
        <v>1.9E-10</v>
      </c>
      <c r="BV291" s="5">
        <v>2.54227398241</v>
      </c>
      <c r="BW291" s="5">
        <v>77736.7834305024</v>
      </c>
      <c r="BX291">
        <f t="shared" si="36"/>
        <v>-9.266798840156093E-11</v>
      </c>
    </row>
    <row r="292" spans="13:76" ht="12.75">
      <c r="M292" s="5">
        <v>5.18E-09</v>
      </c>
      <c r="N292" s="5">
        <v>4.86069178322</v>
      </c>
      <c r="O292" s="5">
        <v>20597.2439630412</v>
      </c>
      <c r="P292">
        <f t="shared" si="33"/>
        <v>5.098625567233097E-09</v>
      </c>
      <c r="R292" s="5">
        <v>4.5E-10</v>
      </c>
      <c r="S292" s="5">
        <v>4.39613584445</v>
      </c>
      <c r="T292" s="5">
        <v>433.7117378768</v>
      </c>
      <c r="U292">
        <f t="shared" si="34"/>
        <v>-4.302726700673698E-10</v>
      </c>
      <c r="BP292" s="5">
        <v>1.57E-09</v>
      </c>
      <c r="BQ292" s="5">
        <v>4.67695912235</v>
      </c>
      <c r="BR292" s="5">
        <v>6709.6740408674</v>
      </c>
      <c r="BS292">
        <f t="shared" si="35"/>
        <v>9.820138751825718E-10</v>
      </c>
      <c r="BU292" s="5">
        <v>2E-10</v>
      </c>
      <c r="BV292" s="5">
        <v>5.91915117116</v>
      </c>
      <c r="BW292" s="5">
        <v>48739.859897083</v>
      </c>
      <c r="BX292">
        <f t="shared" si="36"/>
        <v>6.442265766763267E-11</v>
      </c>
    </row>
    <row r="293" spans="13:71" ht="12.75">
      <c r="M293" s="5">
        <v>4.24E-09</v>
      </c>
      <c r="N293" s="5">
        <v>6.23520018693</v>
      </c>
      <c r="O293" s="5">
        <v>6489.2613984286</v>
      </c>
      <c r="P293">
        <f t="shared" si="33"/>
        <v>-1.930055610985311E-09</v>
      </c>
      <c r="R293" s="5">
        <v>4.4E-10</v>
      </c>
      <c r="S293" s="5">
        <v>2.57358208785</v>
      </c>
      <c r="T293" s="5">
        <v>12964.300703391</v>
      </c>
      <c r="U293">
        <f t="shared" si="34"/>
        <v>-9.27640995853982E-12</v>
      </c>
      <c r="BP293" s="5">
        <v>1.46E-09</v>
      </c>
      <c r="BQ293" s="5">
        <v>3.09506069735</v>
      </c>
      <c r="BR293" s="5">
        <v>4907.3020501456</v>
      </c>
      <c r="BS293">
        <f t="shared" si="35"/>
        <v>1.2646404704781924E-09</v>
      </c>
    </row>
    <row r="294" spans="13:71" ht="12.75">
      <c r="M294" s="5">
        <v>5.18E-09</v>
      </c>
      <c r="N294" s="5">
        <v>6.17617826756</v>
      </c>
      <c r="O294" s="5">
        <v>0.2438174835</v>
      </c>
      <c r="P294">
        <f t="shared" si="33"/>
        <v>5.152004787123194E-09</v>
      </c>
      <c r="R294" s="5">
        <v>4.6E-10</v>
      </c>
      <c r="S294" s="5">
        <v>0.26142733448</v>
      </c>
      <c r="T294" s="5">
        <v>11.0457002639</v>
      </c>
      <c r="U294">
        <f t="shared" si="34"/>
        <v>4.242120019705289E-10</v>
      </c>
      <c r="BP294" s="5">
        <v>1.65E-09</v>
      </c>
      <c r="BQ294" s="5">
        <v>2.2713912876</v>
      </c>
      <c r="BR294" s="5">
        <v>10660.6869350424</v>
      </c>
      <c r="BS294">
        <f t="shared" si="35"/>
        <v>5.44902209773611E-10</v>
      </c>
    </row>
    <row r="295" spans="13:71" ht="12.75">
      <c r="M295" s="5">
        <v>4.04E-09</v>
      </c>
      <c r="N295" s="5">
        <v>5.72804304258</v>
      </c>
      <c r="O295" s="5">
        <v>5642.1982426092</v>
      </c>
      <c r="P295">
        <f t="shared" si="33"/>
        <v>3.742991249546257E-09</v>
      </c>
      <c r="R295" s="5">
        <v>4.5E-10</v>
      </c>
      <c r="S295" s="5">
        <v>2.46230645202</v>
      </c>
      <c r="T295" s="5">
        <v>51868.2486621788</v>
      </c>
      <c r="U295">
        <f t="shared" si="34"/>
        <v>3.2938362539248556E-11</v>
      </c>
      <c r="BP295" s="5">
        <v>2.01E-09</v>
      </c>
      <c r="BQ295" s="5">
        <v>1.67701267433</v>
      </c>
      <c r="BR295" s="5">
        <v>2107.0345075424</v>
      </c>
      <c r="BS295">
        <f t="shared" si="35"/>
        <v>-1.506309314312065E-09</v>
      </c>
    </row>
    <row r="296" spans="13:71" ht="12.75">
      <c r="M296" s="5">
        <v>4.58E-09</v>
      </c>
      <c r="N296" s="5">
        <v>1.34117773915</v>
      </c>
      <c r="O296" s="5">
        <v>6287.0080032545</v>
      </c>
      <c r="P296">
        <f t="shared" si="33"/>
        <v>-4.5799677097113865E-09</v>
      </c>
      <c r="R296" s="5">
        <v>4.8E-10</v>
      </c>
      <c r="S296" s="5">
        <v>0.89551707131</v>
      </c>
      <c r="T296" s="5">
        <v>56600.2792895222</v>
      </c>
      <c r="U296">
        <f t="shared" si="34"/>
        <v>3.145913470061415E-11</v>
      </c>
      <c r="BP296" s="5">
        <v>1.44E-09</v>
      </c>
      <c r="BQ296" s="5">
        <v>3.96947747592</v>
      </c>
      <c r="BR296" s="5">
        <v>6019.9919266186</v>
      </c>
      <c r="BS296">
        <f t="shared" si="35"/>
        <v>-1.1491305432323624E-09</v>
      </c>
    </row>
    <row r="297" spans="13:71" ht="12.75">
      <c r="M297" s="5">
        <v>5.48E-09</v>
      </c>
      <c r="N297" s="5">
        <v>5.6845445832</v>
      </c>
      <c r="O297" s="5">
        <v>155427.54293624</v>
      </c>
      <c r="P297">
        <f t="shared" si="33"/>
        <v>-2.7085846491914673E-09</v>
      </c>
      <c r="R297" s="5">
        <v>5.7E-10</v>
      </c>
      <c r="S297" s="5">
        <v>1.8641670701</v>
      </c>
      <c r="T297" s="5">
        <v>25287.7237993998</v>
      </c>
      <c r="U297">
        <f t="shared" si="34"/>
        <v>-1.1288285047911444E-10</v>
      </c>
      <c r="BP297" s="5">
        <v>1.71E-09</v>
      </c>
      <c r="BQ297" s="5">
        <v>5.91302216729</v>
      </c>
      <c r="BR297" s="5">
        <v>6058.7310542895</v>
      </c>
      <c r="BS297">
        <f t="shared" si="35"/>
        <v>3.424679157913403E-10</v>
      </c>
    </row>
    <row r="298" spans="13:71" ht="12.75">
      <c r="M298" s="5">
        <v>5.47E-09</v>
      </c>
      <c r="N298" s="5">
        <v>1.03391472061</v>
      </c>
      <c r="O298" s="5">
        <v>3646.3503773544</v>
      </c>
      <c r="P298">
        <f t="shared" si="33"/>
        <v>-1.3893418491738263E-09</v>
      </c>
      <c r="R298" s="5">
        <v>4.2E-10</v>
      </c>
      <c r="S298" s="5">
        <v>5.26377513431</v>
      </c>
      <c r="T298" s="5">
        <v>26084.0218062162</v>
      </c>
      <c r="U298">
        <f t="shared" si="34"/>
        <v>1.682465664609871E-10</v>
      </c>
      <c r="BP298" s="5">
        <v>1.44E-09</v>
      </c>
      <c r="BQ298" s="5">
        <v>2.1315565512</v>
      </c>
      <c r="BR298" s="5">
        <v>26084.0218062162</v>
      </c>
      <c r="BS298">
        <f t="shared" si="35"/>
        <v>-5.891881111730512E-10</v>
      </c>
    </row>
    <row r="299" spans="13:71" ht="12.75">
      <c r="M299" s="5">
        <v>4.28E-09</v>
      </c>
      <c r="N299" s="5">
        <v>4.69800981138</v>
      </c>
      <c r="O299" s="5">
        <v>846.0828347512</v>
      </c>
      <c r="P299">
        <f t="shared" si="33"/>
        <v>-3.4825687675028915E-09</v>
      </c>
      <c r="R299" s="5">
        <v>4.9E-10</v>
      </c>
      <c r="S299" s="5">
        <v>3.17757670611</v>
      </c>
      <c r="T299" s="5">
        <v>6303.8512454838</v>
      </c>
      <c r="U299">
        <f t="shared" si="34"/>
        <v>2.2461300639480811E-10</v>
      </c>
      <c r="BP299" s="5">
        <v>1.51E-09</v>
      </c>
      <c r="BQ299" s="5">
        <v>0.67417383554</v>
      </c>
      <c r="BR299" s="5">
        <v>2388.8940204492</v>
      </c>
      <c r="BS299">
        <f t="shared" si="35"/>
        <v>2.4634921177982294E-10</v>
      </c>
    </row>
    <row r="300" spans="13:71" ht="12.75">
      <c r="M300" s="5">
        <v>4.13E-09</v>
      </c>
      <c r="N300" s="5">
        <v>6.02520699406</v>
      </c>
      <c r="O300" s="5">
        <v>6279.4854213396</v>
      </c>
      <c r="P300">
        <f t="shared" si="33"/>
        <v>4.820241720375629E-10</v>
      </c>
      <c r="R300" s="5">
        <v>5.2E-10</v>
      </c>
      <c r="S300" s="5">
        <v>3.65266055509</v>
      </c>
      <c r="T300" s="5">
        <v>7872.1487452752</v>
      </c>
      <c r="U300">
        <f t="shared" si="34"/>
        <v>5.084779924336183E-10</v>
      </c>
      <c r="BP300" s="5">
        <v>1.89E-09</v>
      </c>
      <c r="BQ300" s="5">
        <v>5.07122281033</v>
      </c>
      <c r="BR300" s="5">
        <v>263.0839233728</v>
      </c>
      <c r="BS300">
        <f t="shared" si="35"/>
        <v>-8.183820193315166E-10</v>
      </c>
    </row>
    <row r="301" spans="13:71" ht="12.75">
      <c r="M301" s="5">
        <v>5.34E-09</v>
      </c>
      <c r="N301" s="5">
        <v>3.03030638223</v>
      </c>
      <c r="O301" s="5">
        <v>66567.4858652542</v>
      </c>
      <c r="P301">
        <f t="shared" si="33"/>
        <v>-4.682471172406235E-09</v>
      </c>
      <c r="R301" s="5">
        <v>4E-10</v>
      </c>
      <c r="S301" s="5">
        <v>1.81891629936</v>
      </c>
      <c r="T301" s="5">
        <v>34596.3646546524</v>
      </c>
      <c r="U301">
        <f t="shared" si="34"/>
        <v>3.2884428057831564E-10</v>
      </c>
      <c r="BP301" s="5">
        <v>1.46E-09</v>
      </c>
      <c r="BQ301" s="5">
        <v>5.10373877968</v>
      </c>
      <c r="BR301" s="5">
        <v>10770.8932562618</v>
      </c>
      <c r="BS301">
        <f t="shared" si="35"/>
        <v>9.488957239041172E-10</v>
      </c>
    </row>
    <row r="302" spans="13:71" ht="12.75">
      <c r="M302" s="5">
        <v>3.83E-09</v>
      </c>
      <c r="N302" s="5">
        <v>1.49056949125</v>
      </c>
      <c r="O302" s="5">
        <v>19800.9459562248</v>
      </c>
      <c r="P302">
        <f t="shared" si="33"/>
        <v>3.520850524488465E-09</v>
      </c>
      <c r="R302" s="5">
        <v>4.3E-10</v>
      </c>
      <c r="S302" s="5">
        <v>1.94164978061</v>
      </c>
      <c r="T302" s="5">
        <v>1903.4368125012</v>
      </c>
      <c r="U302">
        <f t="shared" si="34"/>
        <v>4.228599819863875E-10</v>
      </c>
      <c r="BP302" s="5">
        <v>1.87E-09</v>
      </c>
      <c r="BQ302" s="5">
        <v>1.23915444627</v>
      </c>
      <c r="BR302" s="5">
        <v>19402.7969528166</v>
      </c>
      <c r="BS302">
        <f t="shared" si="35"/>
        <v>1.3833450292355385E-09</v>
      </c>
    </row>
    <row r="303" spans="13:71" ht="12.75">
      <c r="M303" s="5">
        <v>4.1E-09</v>
      </c>
      <c r="N303" s="5">
        <v>5.28319622279</v>
      </c>
      <c r="O303" s="5">
        <v>18451.0785465659</v>
      </c>
      <c r="P303">
        <f t="shared" si="33"/>
        <v>3.33338474736643E-09</v>
      </c>
      <c r="R303" s="5">
        <v>4.1E-10</v>
      </c>
      <c r="S303" s="5">
        <v>0.74461854136</v>
      </c>
      <c r="T303" s="5">
        <v>23937.856389741</v>
      </c>
      <c r="U303">
        <f t="shared" si="34"/>
        <v>3.3462252110481116E-10</v>
      </c>
      <c r="BP303" s="5">
        <v>1.74E-09</v>
      </c>
      <c r="BQ303" s="5">
        <v>0.08407293391</v>
      </c>
      <c r="BR303" s="5">
        <v>9380.9596727172</v>
      </c>
      <c r="BS303">
        <f t="shared" si="35"/>
        <v>-9.982795199998361E-10</v>
      </c>
    </row>
    <row r="304" spans="13:71" ht="12.75">
      <c r="M304" s="5">
        <v>3.52E-09</v>
      </c>
      <c r="N304" s="5">
        <v>4.68891600359</v>
      </c>
      <c r="O304" s="5">
        <v>4907.3020501456</v>
      </c>
      <c r="P304">
        <f t="shared" si="33"/>
        <v>-1.8288161640493266E-09</v>
      </c>
      <c r="R304" s="5">
        <v>4.8E-10</v>
      </c>
      <c r="S304" s="5">
        <v>6.26034008181</v>
      </c>
      <c r="T304" s="5">
        <v>28286.9904848612</v>
      </c>
      <c r="U304">
        <f t="shared" si="34"/>
        <v>-8.882293106690684E-11</v>
      </c>
      <c r="BP304" s="5">
        <v>1.37E-09</v>
      </c>
      <c r="BQ304" s="5">
        <v>1.26247412309</v>
      </c>
      <c r="BR304" s="5">
        <v>12566.2190102856</v>
      </c>
      <c r="BS304">
        <f t="shared" si="35"/>
        <v>8.581615653288488E-11</v>
      </c>
    </row>
    <row r="305" spans="13:71" ht="12.75">
      <c r="M305" s="5">
        <v>4.8E-09</v>
      </c>
      <c r="N305" s="5">
        <v>5.36572651091</v>
      </c>
      <c r="O305" s="5">
        <v>348.924420448</v>
      </c>
      <c r="P305">
        <f t="shared" si="33"/>
        <v>-4.678340569203791E-09</v>
      </c>
      <c r="R305" s="5">
        <v>4.5E-10</v>
      </c>
      <c r="S305" s="5">
        <v>5.4557501753</v>
      </c>
      <c r="T305" s="5">
        <v>60530.4889857418</v>
      </c>
      <c r="U305">
        <f t="shared" si="34"/>
        <v>2.234283967512405E-10</v>
      </c>
      <c r="BP305" s="5">
        <v>1.37E-09</v>
      </c>
      <c r="BQ305" s="5">
        <v>3.52826010842</v>
      </c>
      <c r="BR305" s="5">
        <v>639.897286314</v>
      </c>
      <c r="BS305">
        <f t="shared" si="35"/>
        <v>5.213831293079685E-10</v>
      </c>
    </row>
    <row r="306" spans="13:71" ht="12.75">
      <c r="M306" s="5">
        <v>3.44E-09</v>
      </c>
      <c r="N306" s="5">
        <v>5.89157452896</v>
      </c>
      <c r="O306" s="5">
        <v>6546.1597733642</v>
      </c>
      <c r="P306">
        <f t="shared" si="33"/>
        <v>-4.033769329181321E-10</v>
      </c>
      <c r="R306" s="5">
        <v>4E-10</v>
      </c>
      <c r="S306" s="5">
        <v>2.92105728682</v>
      </c>
      <c r="T306" s="5">
        <v>21548.9623692918</v>
      </c>
      <c r="U306">
        <f t="shared" si="34"/>
        <v>-3.510592726232655E-10</v>
      </c>
      <c r="BP306" s="5">
        <v>1.48E-09</v>
      </c>
      <c r="BQ306" s="5">
        <v>1.76124372592</v>
      </c>
      <c r="BR306" s="5">
        <v>5888.4499649322</v>
      </c>
      <c r="BS306">
        <f t="shared" si="35"/>
        <v>3.5474361871385363E-10</v>
      </c>
    </row>
    <row r="307" spans="13:71" ht="12.75">
      <c r="M307" s="5">
        <v>3.4E-09</v>
      </c>
      <c r="N307" s="5">
        <v>0.3755742644</v>
      </c>
      <c r="O307" s="5">
        <v>13119.7211028251</v>
      </c>
      <c r="P307">
        <f t="shared" si="33"/>
        <v>-1.0390793579296504E-09</v>
      </c>
      <c r="R307" s="5">
        <v>4E-10</v>
      </c>
      <c r="S307" s="5">
        <v>0.04502010161</v>
      </c>
      <c r="T307" s="5">
        <v>38526.574350872</v>
      </c>
      <c r="U307">
        <f t="shared" si="34"/>
        <v>-1.2924135350558921E-10</v>
      </c>
      <c r="BP307" s="5">
        <v>1.64E-09</v>
      </c>
      <c r="BQ307" s="5">
        <v>2.39195095081</v>
      </c>
      <c r="BR307" s="5">
        <v>6357.8574485587</v>
      </c>
      <c r="BS307">
        <f t="shared" si="35"/>
        <v>5.681100105794448E-10</v>
      </c>
    </row>
    <row r="308" spans="13:71" ht="12.75">
      <c r="M308" s="5">
        <v>4.34E-09</v>
      </c>
      <c r="N308" s="5">
        <v>4.98417785901</v>
      </c>
      <c r="O308" s="5">
        <v>6702.5604938666</v>
      </c>
      <c r="P308">
        <f t="shared" si="33"/>
        <v>3.3877944650036593E-09</v>
      </c>
      <c r="R308" s="5">
        <v>5.3E-10</v>
      </c>
      <c r="S308" s="5">
        <v>3.64791042082</v>
      </c>
      <c r="T308" s="5">
        <v>11925.2740926006</v>
      </c>
      <c r="U308">
        <f t="shared" si="34"/>
        <v>4.0190164563015856E-10</v>
      </c>
      <c r="BP308" s="5">
        <v>1.46E-09</v>
      </c>
      <c r="BQ308" s="5">
        <v>2.43675816553</v>
      </c>
      <c r="BR308" s="5">
        <v>5881.4037282342</v>
      </c>
      <c r="BS308">
        <f t="shared" si="35"/>
        <v>1.0784011755673722E-09</v>
      </c>
    </row>
    <row r="309" spans="13:71" ht="12.75">
      <c r="M309" s="5">
        <v>3.32E-09</v>
      </c>
      <c r="N309" s="5">
        <v>2.68902519126</v>
      </c>
      <c r="O309" s="5">
        <v>29296.6153895786</v>
      </c>
      <c r="P309">
        <f t="shared" si="33"/>
        <v>-1.3298049365929826E-09</v>
      </c>
      <c r="R309" s="5">
        <v>4.1E-10</v>
      </c>
      <c r="S309" s="5">
        <v>5.04048954693</v>
      </c>
      <c r="T309" s="5">
        <v>27832.0382192832</v>
      </c>
      <c r="U309">
        <f t="shared" si="34"/>
        <v>1.356504393672201E-10</v>
      </c>
      <c r="BP309" s="5">
        <v>1.61E-09</v>
      </c>
      <c r="BQ309" s="5">
        <v>1.15721259372</v>
      </c>
      <c r="BR309" s="5">
        <v>26735.9452622132</v>
      </c>
      <c r="BS309">
        <f t="shared" si="35"/>
        <v>-1.4820364875997759E-09</v>
      </c>
    </row>
    <row r="310" spans="13:71" ht="12.75">
      <c r="M310" s="5">
        <v>4.48E-09</v>
      </c>
      <c r="N310" s="5">
        <v>2.16478480251</v>
      </c>
      <c r="O310" s="5">
        <v>5905.7022420756</v>
      </c>
      <c r="P310">
        <f t="shared" si="33"/>
        <v>3.387645545850917E-09</v>
      </c>
      <c r="R310" s="5">
        <v>4.2E-10</v>
      </c>
      <c r="S310" s="5">
        <v>5.19292937193</v>
      </c>
      <c r="T310" s="5">
        <v>19004.6479494084</v>
      </c>
      <c r="U310">
        <f t="shared" si="34"/>
        <v>4.1185369066013157E-10</v>
      </c>
      <c r="BP310" s="5">
        <v>1.31E-09</v>
      </c>
      <c r="BQ310" s="5">
        <v>2.51859277344</v>
      </c>
      <c r="BR310" s="5">
        <v>6599.467719648</v>
      </c>
      <c r="BS310">
        <f t="shared" si="35"/>
        <v>-3.9423844711546595E-10</v>
      </c>
    </row>
    <row r="311" spans="13:71" ht="12.75">
      <c r="M311" s="5">
        <v>3.44E-09</v>
      </c>
      <c r="N311" s="5">
        <v>2.06546633735</v>
      </c>
      <c r="O311" s="5">
        <v>49.7570254718</v>
      </c>
      <c r="P311">
        <f t="shared" si="33"/>
        <v>-3.0745512055231564E-09</v>
      </c>
      <c r="R311" s="5">
        <v>4E-10</v>
      </c>
      <c r="S311" s="5">
        <v>2.57120233428</v>
      </c>
      <c r="T311" s="5">
        <v>24356.7807886416</v>
      </c>
      <c r="U311">
        <f t="shared" si="34"/>
        <v>3.9897578134934305E-10</v>
      </c>
      <c r="BP311" s="5">
        <v>1.53E-09</v>
      </c>
      <c r="BQ311" s="5">
        <v>5.85203687779</v>
      </c>
      <c r="BR311" s="5">
        <v>6281.5913772831</v>
      </c>
      <c r="BS311">
        <f t="shared" si="35"/>
        <v>3.9967145302048663E-10</v>
      </c>
    </row>
    <row r="312" spans="13:71" ht="12.75">
      <c r="M312" s="5">
        <v>3.15E-09</v>
      </c>
      <c r="N312" s="5">
        <v>1.24023811803</v>
      </c>
      <c r="O312" s="5">
        <v>4061.2192153944</v>
      </c>
      <c r="P312">
        <f t="shared" si="33"/>
        <v>2.090296528071699E-09</v>
      </c>
      <c r="R312" s="5">
        <v>3.8E-10</v>
      </c>
      <c r="S312" s="5">
        <v>3.49190341464</v>
      </c>
      <c r="T312" s="5">
        <v>226858.23855437</v>
      </c>
      <c r="U312">
        <f t="shared" si="34"/>
        <v>3.3389913821832627E-10</v>
      </c>
      <c r="BP312" s="5">
        <v>1.51E-09</v>
      </c>
      <c r="BQ312" s="5">
        <v>3.72338532649</v>
      </c>
      <c r="BR312" s="5">
        <v>12669.2444742014</v>
      </c>
      <c r="BS312">
        <f t="shared" si="35"/>
        <v>-9.103632448189946E-10</v>
      </c>
    </row>
    <row r="313" spans="13:71" ht="12.75">
      <c r="M313" s="5">
        <v>3.24E-09</v>
      </c>
      <c r="N313" s="5">
        <v>2.30897526929</v>
      </c>
      <c r="O313" s="5">
        <v>5017.508371365</v>
      </c>
      <c r="P313">
        <f t="shared" si="33"/>
        <v>1.497081331427362E-09</v>
      </c>
      <c r="R313" s="5">
        <v>3.9E-10</v>
      </c>
      <c r="S313" s="5">
        <v>4.61184303844</v>
      </c>
      <c r="T313" s="5">
        <v>95.9792272178</v>
      </c>
      <c r="U313">
        <f t="shared" si="34"/>
        <v>3.436039751813385E-10</v>
      </c>
      <c r="BP313" s="5">
        <v>1.32E-09</v>
      </c>
      <c r="BQ313" s="5">
        <v>2.38417741883</v>
      </c>
      <c r="BR313" s="5">
        <v>6525.8044539654</v>
      </c>
      <c r="BS313">
        <f t="shared" si="35"/>
        <v>8.835014798194969E-10</v>
      </c>
    </row>
    <row r="314" spans="13:71" ht="12.75">
      <c r="M314" s="5">
        <v>4.13E-09</v>
      </c>
      <c r="N314" s="5">
        <v>0.17171692962</v>
      </c>
      <c r="O314" s="5">
        <v>6286.6662786432</v>
      </c>
      <c r="P314">
        <f t="shared" si="33"/>
        <v>-1.611699106466333E-09</v>
      </c>
      <c r="R314" s="5">
        <v>4.3E-10</v>
      </c>
      <c r="S314" s="5">
        <v>2.20648228147</v>
      </c>
      <c r="T314" s="5">
        <v>13521.7514415914</v>
      </c>
      <c r="U314">
        <f t="shared" si="34"/>
        <v>7.441871019056306E-11</v>
      </c>
      <c r="BP314" s="5">
        <v>1.29E-09</v>
      </c>
      <c r="BQ314" s="5">
        <v>0.75556744143</v>
      </c>
      <c r="BR314" s="5">
        <v>5017.508371365</v>
      </c>
      <c r="BS314">
        <f t="shared" si="35"/>
        <v>1.154224459898886E-09</v>
      </c>
    </row>
    <row r="315" spans="13:71" ht="12.75">
      <c r="M315" s="5">
        <v>4.31E-09</v>
      </c>
      <c r="N315" s="5">
        <v>3.86601101393</v>
      </c>
      <c r="O315" s="5">
        <v>12489.8856287072</v>
      </c>
      <c r="P315">
        <f t="shared" si="33"/>
        <v>4.256265381355432E-09</v>
      </c>
      <c r="R315" s="5">
        <v>4E-10</v>
      </c>
      <c r="S315" s="5">
        <v>5.83461945819</v>
      </c>
      <c r="T315" s="5">
        <v>16193.6591775003</v>
      </c>
      <c r="U315">
        <f t="shared" si="34"/>
        <v>-3.540723290275139E-10</v>
      </c>
      <c r="BP315" s="5">
        <v>1.27E-09</v>
      </c>
      <c r="BQ315" s="5">
        <v>0.00254936441</v>
      </c>
      <c r="BR315" s="5">
        <v>10027.9031957292</v>
      </c>
      <c r="BS315">
        <f t="shared" si="35"/>
        <v>-1.033777605655818E-09</v>
      </c>
    </row>
    <row r="316" spans="13:71" ht="12.75">
      <c r="M316" s="5">
        <v>3.49E-09</v>
      </c>
      <c r="N316" s="5">
        <v>4.55372342974</v>
      </c>
      <c r="O316" s="5">
        <v>4933.2084403326</v>
      </c>
      <c r="P316">
        <f t="shared" si="33"/>
        <v>-2.3254333774109367E-09</v>
      </c>
      <c r="R316" s="5">
        <v>4.5E-10</v>
      </c>
      <c r="S316" s="5">
        <v>3.73714372195</v>
      </c>
      <c r="T316" s="5">
        <v>7875.6718636242</v>
      </c>
      <c r="U316">
        <f t="shared" si="34"/>
        <v>4.4844500120873555E-10</v>
      </c>
      <c r="BP316" s="5">
        <v>1.48E-09</v>
      </c>
      <c r="BQ316" s="5">
        <v>2.85102145528</v>
      </c>
      <c r="BR316" s="5">
        <v>6418.1409300268</v>
      </c>
      <c r="BS316">
        <f t="shared" si="35"/>
        <v>1.479767526985519E-09</v>
      </c>
    </row>
    <row r="317" spans="13:71" ht="12.75">
      <c r="M317" s="5">
        <v>3.23E-09</v>
      </c>
      <c r="N317" s="5">
        <v>0.41971136084</v>
      </c>
      <c r="O317" s="5">
        <v>10770.8932562618</v>
      </c>
      <c r="P317">
        <f t="shared" si="33"/>
        <v>2.3942669968154007E-09</v>
      </c>
      <c r="R317" s="5">
        <v>4.3E-10</v>
      </c>
      <c r="S317" s="5">
        <v>1.14078465002</v>
      </c>
      <c r="T317" s="5">
        <v>49.7570254718</v>
      </c>
      <c r="U317">
        <f t="shared" si="34"/>
        <v>-7.740076344898232E-11</v>
      </c>
      <c r="BP317" s="5">
        <v>1.43E-09</v>
      </c>
      <c r="BQ317" s="5">
        <v>5.74460279367</v>
      </c>
      <c r="BR317" s="5">
        <v>26087.9031415742</v>
      </c>
      <c r="BS317">
        <f t="shared" si="35"/>
        <v>1.1553532304776104E-09</v>
      </c>
    </row>
    <row r="318" spans="13:71" ht="12.75">
      <c r="M318" s="5">
        <v>3.41E-09</v>
      </c>
      <c r="N318" s="5">
        <v>2.68612860807</v>
      </c>
      <c r="O318" s="5">
        <v>11.0457002639</v>
      </c>
      <c r="P318">
        <f t="shared" si="33"/>
        <v>-3.2370788638289227E-09</v>
      </c>
      <c r="R318" s="5">
        <v>3.7E-10</v>
      </c>
      <c r="S318" s="5">
        <v>1.29390383811</v>
      </c>
      <c r="T318" s="5">
        <v>310.8407988684</v>
      </c>
      <c r="U318">
        <f t="shared" si="34"/>
        <v>1.43586322526816E-10</v>
      </c>
      <c r="BP318" s="5">
        <v>1.72E-09</v>
      </c>
      <c r="BQ318" s="5">
        <v>0.4128996224</v>
      </c>
      <c r="BR318" s="5">
        <v>174242.465964049</v>
      </c>
      <c r="BS318">
        <f t="shared" si="35"/>
        <v>-1.3912603467428247E-09</v>
      </c>
    </row>
    <row r="319" spans="13:71" ht="12.75">
      <c r="M319" s="5">
        <v>3.16E-09</v>
      </c>
      <c r="N319" s="5">
        <v>3.52936906658</v>
      </c>
      <c r="O319" s="5">
        <v>17782.7320727842</v>
      </c>
      <c r="P319">
        <f t="shared" si="33"/>
        <v>-1.2688646267764538E-09</v>
      </c>
      <c r="R319" s="5">
        <v>3.8E-10</v>
      </c>
      <c r="S319" s="5">
        <v>0.9597092595</v>
      </c>
      <c r="T319" s="5">
        <v>664.75604513</v>
      </c>
      <c r="U319">
        <f t="shared" si="34"/>
        <v>-3.627931886440118E-10</v>
      </c>
      <c r="BP319" s="5">
        <v>1.36E-09</v>
      </c>
      <c r="BQ319" s="5">
        <v>4.15497742275</v>
      </c>
      <c r="BR319" s="5">
        <v>6311.5250374592</v>
      </c>
      <c r="BS319">
        <f t="shared" si="35"/>
        <v>1.3596410221434016E-09</v>
      </c>
    </row>
    <row r="320" spans="13:71" ht="12.75">
      <c r="M320" s="5">
        <v>3.15E-09</v>
      </c>
      <c r="N320" s="5">
        <v>5.63357264999</v>
      </c>
      <c r="O320" s="5">
        <v>568.8218740274</v>
      </c>
      <c r="P320">
        <f t="shared" si="33"/>
        <v>3.1457179179492083E-09</v>
      </c>
      <c r="R320" s="5">
        <v>3.7E-10</v>
      </c>
      <c r="S320" s="5">
        <v>4.27532649462</v>
      </c>
      <c r="T320" s="5">
        <v>6709.6740408674</v>
      </c>
      <c r="U320">
        <f t="shared" si="34"/>
        <v>1.001597945290215E-10</v>
      </c>
      <c r="BP320" s="5">
        <v>1.7E-09</v>
      </c>
      <c r="BQ320" s="5">
        <v>5.98194913129</v>
      </c>
      <c r="BR320" s="5">
        <v>327574.514276781</v>
      </c>
      <c r="BS320">
        <f t="shared" si="35"/>
        <v>9.64330565529378E-10</v>
      </c>
    </row>
    <row r="321" spans="13:71" ht="12.75">
      <c r="M321" s="5">
        <v>3.4E-09</v>
      </c>
      <c r="N321" s="5">
        <v>3.83571212349</v>
      </c>
      <c r="O321" s="5">
        <v>10660.6869350424</v>
      </c>
      <c r="P321">
        <f t="shared" si="33"/>
        <v>-3.2019072138910038E-09</v>
      </c>
      <c r="R321" s="5">
        <v>3.8E-10</v>
      </c>
      <c r="S321" s="5">
        <v>2.20108541046</v>
      </c>
      <c r="T321" s="5">
        <v>28628.3362260996</v>
      </c>
      <c r="U321">
        <f t="shared" si="34"/>
        <v>-1.1898666401468316E-10</v>
      </c>
      <c r="BP321" s="5">
        <v>1.24E-09</v>
      </c>
      <c r="BQ321" s="5">
        <v>1.65497607604</v>
      </c>
      <c r="BR321" s="5">
        <v>32217.2001810808</v>
      </c>
      <c r="BS321">
        <f t="shared" si="35"/>
        <v>1.728569699234667E-10</v>
      </c>
    </row>
    <row r="322" spans="13:71" ht="12.75">
      <c r="M322" s="5">
        <v>2.97E-09</v>
      </c>
      <c r="N322" s="5">
        <v>0.62691416712</v>
      </c>
      <c r="O322" s="5">
        <v>20995.3929664494</v>
      </c>
      <c r="P322">
        <f aca="true" t="shared" si="37" ref="P322:P385">M322*COS(N322+O322*$E$16)</f>
        <v>1.998132207017638E-09</v>
      </c>
      <c r="R322" s="5">
        <v>3.9E-10</v>
      </c>
      <c r="S322" s="5">
        <v>0.85957361635</v>
      </c>
      <c r="T322" s="5">
        <v>16522.6597160022</v>
      </c>
      <c r="U322">
        <f aca="true" t="shared" si="38" ref="U322:U341">R322*COS(S322+T322*$E$16)</f>
        <v>-3.509852670179617E-10</v>
      </c>
      <c r="BP322" s="5">
        <v>1.36E-09</v>
      </c>
      <c r="BQ322" s="5">
        <v>2.48430783417</v>
      </c>
      <c r="BR322" s="5">
        <v>13341.6743113068</v>
      </c>
      <c r="BS322">
        <f aca="true" t="shared" si="39" ref="BS322:BS385">BP322*COS(BQ322+BR322*$E$16)</f>
        <v>-1.335852520952874E-09</v>
      </c>
    </row>
    <row r="323" spans="13:71" ht="12.75">
      <c r="M323" s="5">
        <v>4.05E-09</v>
      </c>
      <c r="N323" s="5">
        <v>1.00085779471</v>
      </c>
      <c r="O323" s="5">
        <v>16460.3335295249</v>
      </c>
      <c r="P323">
        <f t="shared" si="37"/>
        <v>-1.926094304097345E-09</v>
      </c>
      <c r="R323" s="5">
        <v>4E-10</v>
      </c>
      <c r="S323" s="5">
        <v>4.35214003837</v>
      </c>
      <c r="T323" s="5">
        <v>48739.859897083</v>
      </c>
      <c r="U323">
        <f t="shared" si="38"/>
        <v>3.791654425308107E-10</v>
      </c>
      <c r="BP323" s="5">
        <v>1.65E-09</v>
      </c>
      <c r="BQ323" s="5">
        <v>2.496679246</v>
      </c>
      <c r="BR323" s="5">
        <v>58953.145443294</v>
      </c>
      <c r="BS323">
        <f t="shared" si="39"/>
        <v>-1.246939020298829E-09</v>
      </c>
    </row>
    <row r="324" spans="13:71" ht="12.75">
      <c r="M324" s="5">
        <v>4.14E-09</v>
      </c>
      <c r="N324" s="5">
        <v>1.21998752076</v>
      </c>
      <c r="O324" s="5">
        <v>51092.7260508548</v>
      </c>
      <c r="P324">
        <f t="shared" si="37"/>
        <v>3.950967060053298E-09</v>
      </c>
      <c r="R324" s="5">
        <v>3.6E-10</v>
      </c>
      <c r="S324" s="5">
        <v>1.68167662194</v>
      </c>
      <c r="T324" s="5">
        <v>10344.2950653858</v>
      </c>
      <c r="U324">
        <f t="shared" si="38"/>
        <v>-3.5823456371546593E-10</v>
      </c>
      <c r="BP324" s="5">
        <v>1.23E-09</v>
      </c>
      <c r="BQ324" s="5">
        <v>3.45660563754</v>
      </c>
      <c r="BR324" s="5">
        <v>6277.552925684</v>
      </c>
      <c r="BS324">
        <f t="shared" si="39"/>
        <v>5.153004167375737E-10</v>
      </c>
    </row>
    <row r="325" spans="13:71" ht="12.75">
      <c r="M325" s="5">
        <v>3.36E-09</v>
      </c>
      <c r="N325" s="5">
        <v>4.71465945226</v>
      </c>
      <c r="O325" s="5">
        <v>6179.9830757728</v>
      </c>
      <c r="P325">
        <f t="shared" si="37"/>
        <v>1.587849478181716E-09</v>
      </c>
      <c r="R325" s="5">
        <v>4E-10</v>
      </c>
      <c r="S325" s="5">
        <v>5.13217319067</v>
      </c>
      <c r="T325" s="5">
        <v>15664.0355227085</v>
      </c>
      <c r="U325">
        <f t="shared" si="38"/>
        <v>-3.6207906851044536E-10</v>
      </c>
      <c r="BP325" s="5">
        <v>1.17E-09</v>
      </c>
      <c r="BQ325" s="5">
        <v>0.86065134175</v>
      </c>
      <c r="BR325" s="5">
        <v>6245.0481773556</v>
      </c>
      <c r="BS325">
        <f t="shared" si="39"/>
        <v>-6.399858447945688E-10</v>
      </c>
    </row>
    <row r="326" spans="13:71" ht="12.75">
      <c r="M326" s="5">
        <v>3.61E-09</v>
      </c>
      <c r="N326" s="5">
        <v>3.71227508354</v>
      </c>
      <c r="O326" s="5">
        <v>28237.2334593894</v>
      </c>
      <c r="P326">
        <f t="shared" si="37"/>
        <v>6.059380614914083E-10</v>
      </c>
      <c r="R326" s="5">
        <v>3.6E-10</v>
      </c>
      <c r="S326" s="5">
        <v>3.72187132496</v>
      </c>
      <c r="T326" s="5">
        <v>30774.5016425748</v>
      </c>
      <c r="U326">
        <f t="shared" si="38"/>
        <v>-2.907861645179196E-11</v>
      </c>
      <c r="BP326" s="5">
        <v>1.49E-09</v>
      </c>
      <c r="BQ326" s="5">
        <v>5.61358280963</v>
      </c>
      <c r="BR326" s="5">
        <v>5729.506447149</v>
      </c>
      <c r="BS326">
        <f t="shared" si="39"/>
        <v>1.2529696079487232E-09</v>
      </c>
    </row>
    <row r="327" spans="13:71" ht="12.75">
      <c r="M327" s="5">
        <v>3.85E-09</v>
      </c>
      <c r="N327" s="5">
        <v>6.21925225757</v>
      </c>
      <c r="O327" s="5">
        <v>24356.7807886416</v>
      </c>
      <c r="P327">
        <f t="shared" si="37"/>
        <v>-3.224522261313871E-09</v>
      </c>
      <c r="R327" s="5">
        <v>3.6E-10</v>
      </c>
      <c r="S327" s="5">
        <v>3.32158458257</v>
      </c>
      <c r="T327" s="5">
        <v>16207.886271502</v>
      </c>
      <c r="U327">
        <f t="shared" si="38"/>
        <v>1.0074007047012797E-10</v>
      </c>
      <c r="BP327" s="5">
        <v>1.53E-09</v>
      </c>
      <c r="BQ327" s="5">
        <v>0.2686002995</v>
      </c>
      <c r="BR327" s="5">
        <v>245.8316462294</v>
      </c>
      <c r="BS327">
        <f t="shared" si="39"/>
        <v>-1.5137801310580404E-09</v>
      </c>
    </row>
    <row r="328" spans="13:71" ht="12.75">
      <c r="M328" s="5">
        <v>3.27E-09</v>
      </c>
      <c r="N328" s="5">
        <v>1.05606504715</v>
      </c>
      <c r="O328" s="5">
        <v>11919.140866668</v>
      </c>
      <c r="P328">
        <f t="shared" si="37"/>
        <v>-3.1796232749567716E-09</v>
      </c>
      <c r="R328" s="5">
        <v>4.5E-10</v>
      </c>
      <c r="S328" s="5">
        <v>3.94202418608</v>
      </c>
      <c r="T328" s="5">
        <v>10988.808157535</v>
      </c>
      <c r="U328">
        <f t="shared" si="38"/>
        <v>3.579916562673322E-10</v>
      </c>
      <c r="BP328" s="5">
        <v>1.28E-09</v>
      </c>
      <c r="BQ328" s="5">
        <v>0.71204006588</v>
      </c>
      <c r="BR328" s="5">
        <v>103.0927742186</v>
      </c>
      <c r="BS328">
        <f t="shared" si="39"/>
        <v>-5.069182324599663E-10</v>
      </c>
    </row>
    <row r="329" spans="13:71" ht="12.75">
      <c r="M329" s="5">
        <v>3.27E-09</v>
      </c>
      <c r="N329" s="5">
        <v>6.14222420989</v>
      </c>
      <c r="O329" s="5">
        <v>6254.6266625236</v>
      </c>
      <c r="P329">
        <f t="shared" si="37"/>
        <v>9.826438156774102E-10</v>
      </c>
      <c r="R329" s="5">
        <v>3.9E-10</v>
      </c>
      <c r="S329" s="5">
        <v>1.51948786199</v>
      </c>
      <c r="T329" s="5">
        <v>12029.3471878874</v>
      </c>
      <c r="U329">
        <f t="shared" si="38"/>
        <v>4.005205294290293E-12</v>
      </c>
      <c r="BP329" s="5">
        <v>1.59E-09</v>
      </c>
      <c r="BQ329" s="5">
        <v>2.43166592149</v>
      </c>
      <c r="BR329" s="5">
        <v>221995.028801495</v>
      </c>
      <c r="BS329">
        <f t="shared" si="39"/>
        <v>2.4646423806703304E-11</v>
      </c>
    </row>
    <row r="330" spans="13:71" ht="12.75">
      <c r="M330" s="5">
        <v>2.68E-09</v>
      </c>
      <c r="N330" s="5">
        <v>2.47224339737</v>
      </c>
      <c r="O330" s="5">
        <v>664.75604513</v>
      </c>
      <c r="P330">
        <f t="shared" si="37"/>
        <v>-9.449601108934259E-10</v>
      </c>
      <c r="R330" s="5">
        <v>2.6E-10</v>
      </c>
      <c r="S330" s="5">
        <v>3.8768588318</v>
      </c>
      <c r="T330" s="5">
        <v>6262.7205305926</v>
      </c>
      <c r="U330">
        <f t="shared" si="38"/>
        <v>1.6153738264349853E-10</v>
      </c>
      <c r="BP330" s="5">
        <v>1.3E-09</v>
      </c>
      <c r="BQ330" s="5">
        <v>2.80707316718</v>
      </c>
      <c r="BR330" s="5">
        <v>6016.4688082696</v>
      </c>
      <c r="BS330">
        <f t="shared" si="39"/>
        <v>3.613678267332715E-10</v>
      </c>
    </row>
    <row r="331" spans="13:71" ht="12.75">
      <c r="M331" s="5">
        <v>2.69E-09</v>
      </c>
      <c r="N331" s="5">
        <v>1.86207884109</v>
      </c>
      <c r="O331" s="5">
        <v>23141.5583829246</v>
      </c>
      <c r="P331">
        <f t="shared" si="37"/>
        <v>-2.660638537126371E-09</v>
      </c>
      <c r="R331" s="5">
        <v>2.4E-10</v>
      </c>
      <c r="S331" s="5">
        <v>4.91804163466</v>
      </c>
      <c r="T331" s="5">
        <v>19651.048481098</v>
      </c>
      <c r="U331">
        <f t="shared" si="38"/>
        <v>9.092538305188452E-11</v>
      </c>
      <c r="BP331" s="5">
        <v>1.37E-09</v>
      </c>
      <c r="BQ331" s="5">
        <v>1.70657709294</v>
      </c>
      <c r="BR331" s="5">
        <v>12566.08438968</v>
      </c>
      <c r="BS331">
        <f t="shared" si="39"/>
        <v>6.629725826159117E-10</v>
      </c>
    </row>
    <row r="332" spans="13:71" ht="12.75">
      <c r="M332" s="5">
        <v>3.45E-09</v>
      </c>
      <c r="N332" s="5">
        <v>0.93461290184</v>
      </c>
      <c r="O332" s="5">
        <v>6058.7310542895</v>
      </c>
      <c r="P332">
        <f t="shared" si="37"/>
        <v>3.442852032706428E-09</v>
      </c>
      <c r="R332" s="5">
        <v>2.3E-10</v>
      </c>
      <c r="S332" s="5">
        <v>0.29300197709</v>
      </c>
      <c r="T332" s="5">
        <v>13362.4497067992</v>
      </c>
      <c r="U332">
        <f t="shared" si="38"/>
        <v>1.2102451357083504E-10</v>
      </c>
      <c r="BP332" s="5">
        <v>1.11E-09</v>
      </c>
      <c r="BQ332" s="5">
        <v>1.56305648432</v>
      </c>
      <c r="BR332" s="5">
        <v>17782.7320727842</v>
      </c>
      <c r="BS332">
        <f t="shared" si="39"/>
        <v>1.1098265041551183E-09</v>
      </c>
    </row>
    <row r="333" spans="13:71" ht="12.75">
      <c r="M333" s="5">
        <v>2.96E-09</v>
      </c>
      <c r="N333" s="5">
        <v>4.5168755718</v>
      </c>
      <c r="O333" s="5">
        <v>6418.1409300268</v>
      </c>
      <c r="P333">
        <f t="shared" si="37"/>
        <v>-2.2867819194823772E-10</v>
      </c>
      <c r="R333" s="5">
        <v>2.1E-10</v>
      </c>
      <c r="S333" s="5">
        <v>3.18605672363</v>
      </c>
      <c r="T333" s="5">
        <v>6277.552925684</v>
      </c>
      <c r="U333">
        <f t="shared" si="38"/>
        <v>3.381594762755444E-11</v>
      </c>
      <c r="BP333" s="5">
        <v>1.13E-09</v>
      </c>
      <c r="BQ333" s="5">
        <v>3.58302904101</v>
      </c>
      <c r="BR333" s="5">
        <v>25685.872802808</v>
      </c>
      <c r="BS333">
        <f t="shared" si="39"/>
        <v>1.4139557160042195E-10</v>
      </c>
    </row>
    <row r="334" spans="13:71" ht="12.75">
      <c r="M334" s="5">
        <v>3.53E-09</v>
      </c>
      <c r="N334" s="5">
        <v>4.50033653082</v>
      </c>
      <c r="O334" s="5">
        <v>36949.2308084242</v>
      </c>
      <c r="P334">
        <f t="shared" si="37"/>
        <v>3.1819937406939216E-09</v>
      </c>
      <c r="R334" s="5">
        <v>2.1E-10</v>
      </c>
      <c r="S334" s="5">
        <v>6.07546891132</v>
      </c>
      <c r="T334" s="5">
        <v>18139.2945014159</v>
      </c>
      <c r="U334">
        <f t="shared" si="38"/>
        <v>-1.8263565311805033E-10</v>
      </c>
      <c r="BP334" s="5">
        <v>1.09E-09</v>
      </c>
      <c r="BQ334" s="5">
        <v>3.26403795962</v>
      </c>
      <c r="BR334" s="5">
        <v>6819.8803620868</v>
      </c>
      <c r="BS334">
        <f t="shared" si="39"/>
        <v>6.298915065171556E-10</v>
      </c>
    </row>
    <row r="335" spans="13:71" ht="12.75">
      <c r="M335" s="5">
        <v>2.6E-09</v>
      </c>
      <c r="N335" s="5">
        <v>4.04963546305</v>
      </c>
      <c r="O335" s="5">
        <v>6525.8044539654</v>
      </c>
      <c r="P335">
        <f t="shared" si="37"/>
        <v>-2.0875734267779605E-09</v>
      </c>
      <c r="R335" s="5">
        <v>2.2E-10</v>
      </c>
      <c r="S335" s="5">
        <v>2.31199937177</v>
      </c>
      <c r="T335" s="5">
        <v>6303.4311693902</v>
      </c>
      <c r="U335">
        <f t="shared" si="38"/>
        <v>-8.456611846022231E-11</v>
      </c>
      <c r="BP335" s="5">
        <v>1.22E-09</v>
      </c>
      <c r="BQ335" s="5">
        <v>0.34120688217</v>
      </c>
      <c r="BR335" s="5">
        <v>1162.4747044078</v>
      </c>
      <c r="BS335">
        <f t="shared" si="39"/>
        <v>-5.621231296162018E-10</v>
      </c>
    </row>
    <row r="336" spans="13:71" ht="12.75">
      <c r="M336" s="5">
        <v>2.98E-09</v>
      </c>
      <c r="N336" s="5">
        <v>2.20046722622</v>
      </c>
      <c r="O336" s="5">
        <v>156137.475984799</v>
      </c>
      <c r="P336">
        <f t="shared" si="37"/>
        <v>-2.9799726211552434E-09</v>
      </c>
      <c r="R336" s="5">
        <v>2.1E-10</v>
      </c>
      <c r="S336" s="5">
        <v>3.58418394393</v>
      </c>
      <c r="T336" s="5">
        <v>18209.3302636601</v>
      </c>
      <c r="U336">
        <f t="shared" si="38"/>
        <v>1.1450255125660567E-10</v>
      </c>
      <c r="BP336" s="5">
        <v>1.19E-09</v>
      </c>
      <c r="BQ336" s="5">
        <v>5.84644718278</v>
      </c>
      <c r="BR336" s="5">
        <v>12721.572099417</v>
      </c>
      <c r="BS336">
        <f t="shared" si="39"/>
        <v>3.1873283046019887E-10</v>
      </c>
    </row>
    <row r="337" spans="13:71" ht="12.75">
      <c r="M337" s="5">
        <v>2.53E-09</v>
      </c>
      <c r="N337" s="5">
        <v>3.49900838384</v>
      </c>
      <c r="O337" s="5">
        <v>29864.334027309</v>
      </c>
      <c r="P337">
        <f t="shared" si="37"/>
        <v>2.2385694611954705E-09</v>
      </c>
      <c r="R337" s="5">
        <v>2.6E-10</v>
      </c>
      <c r="S337" s="5">
        <v>2.068012969</v>
      </c>
      <c r="T337" s="5">
        <v>12573.2652469836</v>
      </c>
      <c r="U337">
        <f t="shared" si="38"/>
        <v>2.1220325282989337E-10</v>
      </c>
      <c r="BP337" s="5">
        <v>1.44E-09</v>
      </c>
      <c r="BQ337" s="5">
        <v>2.28899679126</v>
      </c>
      <c r="BR337" s="5">
        <v>12489.8856287072</v>
      </c>
      <c r="BS337">
        <f t="shared" si="39"/>
        <v>2.1783085571488598E-10</v>
      </c>
    </row>
    <row r="338" spans="13:71" ht="12.75">
      <c r="M338" s="5">
        <v>2.54E-09</v>
      </c>
      <c r="N338" s="5">
        <v>2.44901693835</v>
      </c>
      <c r="O338" s="5">
        <v>5331.3574437408</v>
      </c>
      <c r="P338">
        <f t="shared" si="37"/>
        <v>9.234588649765734E-10</v>
      </c>
      <c r="R338" s="5">
        <v>2.1E-10</v>
      </c>
      <c r="S338" s="5">
        <v>1.56857722317</v>
      </c>
      <c r="T338" s="5">
        <v>13341.6743113068</v>
      </c>
      <c r="U338">
        <f t="shared" si="38"/>
        <v>-9.442062803802126E-11</v>
      </c>
      <c r="BP338" s="5">
        <v>1.37E-09</v>
      </c>
      <c r="BQ338" s="5">
        <v>5.82029768354</v>
      </c>
      <c r="BR338" s="5">
        <v>44809.6502008634</v>
      </c>
      <c r="BS338">
        <f t="shared" si="39"/>
        <v>-1.3699737763049158E-09</v>
      </c>
    </row>
    <row r="339" spans="13:71" ht="12.75">
      <c r="M339" s="5">
        <v>2.96E-09</v>
      </c>
      <c r="N339" s="5">
        <v>0.84347588787</v>
      </c>
      <c r="O339" s="5">
        <v>5729.506447149</v>
      </c>
      <c r="P339">
        <f t="shared" si="37"/>
        <v>-1.4555810793931231E-09</v>
      </c>
      <c r="R339" s="5">
        <v>2.4E-10</v>
      </c>
      <c r="S339" s="5">
        <v>5.72605158675</v>
      </c>
      <c r="T339" s="5">
        <v>29864.334027309</v>
      </c>
      <c r="U339">
        <f t="shared" si="38"/>
        <v>-4.0967224211503105E-11</v>
      </c>
      <c r="BP339" s="5">
        <v>1.07E-09</v>
      </c>
      <c r="BQ339" s="5">
        <v>2.4281854414</v>
      </c>
      <c r="BR339" s="5">
        <v>5547.1993364596</v>
      </c>
      <c r="BS339">
        <f t="shared" si="39"/>
        <v>1.491660503923659E-10</v>
      </c>
    </row>
    <row r="340" spans="13:71" ht="12.75">
      <c r="M340" s="5">
        <v>2.98E-09</v>
      </c>
      <c r="N340" s="5">
        <v>1.29194706125</v>
      </c>
      <c r="O340" s="5">
        <v>22805.7355659936</v>
      </c>
      <c r="P340">
        <f t="shared" si="37"/>
        <v>4.934342334840839E-10</v>
      </c>
      <c r="R340" s="5">
        <v>2.4E-10</v>
      </c>
      <c r="S340" s="5">
        <v>1.40237993205</v>
      </c>
      <c r="T340" s="5">
        <v>14712.317116458</v>
      </c>
      <c r="U340">
        <f t="shared" si="38"/>
        <v>2.3739146799616166E-10</v>
      </c>
      <c r="BP340" s="5">
        <v>1.34E-09</v>
      </c>
      <c r="BQ340" s="5">
        <v>1.26539982939</v>
      </c>
      <c r="BR340" s="5">
        <v>5331.3574437408</v>
      </c>
      <c r="BS340">
        <f t="shared" si="39"/>
        <v>-9.719513747297638E-10</v>
      </c>
    </row>
    <row r="341" spans="13:71" ht="12.75">
      <c r="M341" s="5">
        <v>2.41E-09</v>
      </c>
      <c r="N341" s="5">
        <v>2.00721280805</v>
      </c>
      <c r="O341" s="5">
        <v>16737.5772365966</v>
      </c>
      <c r="P341">
        <f t="shared" si="37"/>
        <v>2.364767610763293E-09</v>
      </c>
      <c r="R341" s="5">
        <v>2.5E-10</v>
      </c>
      <c r="S341" s="5">
        <v>5.71466092822</v>
      </c>
      <c r="T341" s="5">
        <v>25934.1243310894</v>
      </c>
      <c r="U341">
        <f t="shared" si="38"/>
        <v>-2.072963094756804E-10</v>
      </c>
      <c r="BP341" s="5">
        <v>1.03E-09</v>
      </c>
      <c r="BQ341" s="5">
        <v>5.96518130595</v>
      </c>
      <c r="BR341" s="5">
        <v>6321.1035226272</v>
      </c>
      <c r="BS341">
        <f t="shared" si="39"/>
        <v>-3.377093893952947E-10</v>
      </c>
    </row>
    <row r="342" spans="13:71" ht="12.75">
      <c r="M342" s="5">
        <v>3.11E-09</v>
      </c>
      <c r="N342" s="5">
        <v>1.23668016334</v>
      </c>
      <c r="O342" s="5">
        <v>6281.5913772831</v>
      </c>
      <c r="P342">
        <f t="shared" si="37"/>
        <v>-3.0666003978593036E-09</v>
      </c>
      <c r="BP342" s="5">
        <v>1.09E-09</v>
      </c>
      <c r="BQ342" s="5">
        <v>0.33808549034</v>
      </c>
      <c r="BR342" s="5">
        <v>11300.5842213564</v>
      </c>
      <c r="BS342">
        <f t="shared" si="39"/>
        <v>6.982916579876009E-10</v>
      </c>
    </row>
    <row r="343" spans="13:71" ht="12.75">
      <c r="M343" s="5">
        <v>2.4E-09</v>
      </c>
      <c r="N343" s="5">
        <v>2.51650377121</v>
      </c>
      <c r="O343" s="5">
        <v>6245.0481773556</v>
      </c>
      <c r="P343">
        <f t="shared" si="37"/>
        <v>-1.8903343208390567E-09</v>
      </c>
      <c r="BP343" s="5">
        <v>1.29E-09</v>
      </c>
      <c r="BQ343" s="5">
        <v>5.89187277327</v>
      </c>
      <c r="BR343" s="5">
        <v>12029.3471878874</v>
      </c>
      <c r="BS343">
        <f t="shared" si="39"/>
        <v>-1.220505717211334E-09</v>
      </c>
    </row>
    <row r="344" spans="13:71" ht="12.75">
      <c r="M344" s="5">
        <v>3.32E-09</v>
      </c>
      <c r="N344" s="5">
        <v>3.55576945724</v>
      </c>
      <c r="O344" s="5">
        <v>7668.6374249425</v>
      </c>
      <c r="P344">
        <f t="shared" si="37"/>
        <v>-3.13571887818486E-09</v>
      </c>
      <c r="BP344" s="5">
        <v>1.22E-09</v>
      </c>
      <c r="BQ344" s="5">
        <v>5.77325634636</v>
      </c>
      <c r="BR344" s="5">
        <v>11919.140866668</v>
      </c>
      <c r="BS344">
        <f t="shared" si="39"/>
        <v>2.7914414779766435E-10</v>
      </c>
    </row>
    <row r="345" spans="13:71" ht="12.75">
      <c r="M345" s="5">
        <v>2.64E-09</v>
      </c>
      <c r="N345" s="5">
        <v>4.44052061202</v>
      </c>
      <c r="O345" s="5">
        <v>12964.300703391</v>
      </c>
      <c r="P345">
        <f t="shared" si="37"/>
        <v>2.540761020413816E-09</v>
      </c>
      <c r="BP345" s="5">
        <v>1.07E-09</v>
      </c>
      <c r="BQ345" s="5">
        <v>6.2499898935</v>
      </c>
      <c r="BR345" s="5">
        <v>77690.7595057384</v>
      </c>
      <c r="BS345">
        <f t="shared" si="39"/>
        <v>5.227678656141038E-10</v>
      </c>
    </row>
    <row r="346" spans="13:71" ht="12.75">
      <c r="M346" s="5">
        <v>2.57E-09</v>
      </c>
      <c r="N346" s="5">
        <v>1.79654471948</v>
      </c>
      <c r="O346" s="5">
        <v>11080.1715789176</v>
      </c>
      <c r="P346">
        <f t="shared" si="37"/>
        <v>2.3935972728849116E-09</v>
      </c>
      <c r="BP346" s="5">
        <v>1.07E-09</v>
      </c>
      <c r="BQ346" s="5">
        <v>1.00535580713</v>
      </c>
      <c r="BR346" s="5">
        <v>77736.7834305024</v>
      </c>
      <c r="BS346">
        <f t="shared" si="39"/>
        <v>9.158938745973183E-10</v>
      </c>
    </row>
    <row r="347" spans="13:71" ht="12.75">
      <c r="M347" s="5">
        <v>2.6E-09</v>
      </c>
      <c r="N347" s="5">
        <v>3.3307759842</v>
      </c>
      <c r="O347" s="5">
        <v>5888.4499649322</v>
      </c>
      <c r="P347">
        <f t="shared" si="37"/>
        <v>2.5249933354108665E-09</v>
      </c>
      <c r="BP347" s="5">
        <v>1.43E-09</v>
      </c>
      <c r="BQ347" s="5">
        <v>0.24122178432</v>
      </c>
      <c r="BR347" s="5">
        <v>4214.0690150848</v>
      </c>
      <c r="BS347">
        <f t="shared" si="39"/>
        <v>-2.1698567954735478E-10</v>
      </c>
    </row>
    <row r="348" spans="13:71" ht="12.75">
      <c r="M348" s="5">
        <v>2.85E-09</v>
      </c>
      <c r="N348" s="5">
        <v>0.3088636143</v>
      </c>
      <c r="O348" s="5">
        <v>11823.1616394502</v>
      </c>
      <c r="P348">
        <f t="shared" si="37"/>
        <v>1.5871737717948867E-09</v>
      </c>
      <c r="BP348" s="5">
        <v>1.43E-09</v>
      </c>
      <c r="BQ348" s="5">
        <v>0.88529649733</v>
      </c>
      <c r="BR348" s="5">
        <v>7576.560073574</v>
      </c>
      <c r="BS348">
        <f t="shared" si="39"/>
        <v>1.355225677130531E-09</v>
      </c>
    </row>
    <row r="349" spans="13:71" ht="12.75">
      <c r="M349" s="5">
        <v>2.9E-09</v>
      </c>
      <c r="N349" s="5">
        <v>5.70141882483</v>
      </c>
      <c r="O349" s="5">
        <v>77.673770428</v>
      </c>
      <c r="P349">
        <f t="shared" si="37"/>
        <v>2.701602346275429E-09</v>
      </c>
      <c r="BP349" s="5">
        <v>1.07E-09</v>
      </c>
      <c r="BQ349" s="5">
        <v>2.92124030496</v>
      </c>
      <c r="BR349" s="5">
        <v>31415.379249957</v>
      </c>
      <c r="BS349">
        <f t="shared" si="39"/>
        <v>6.934680750743099E-10</v>
      </c>
    </row>
    <row r="350" spans="13:71" ht="12.75">
      <c r="M350" s="5">
        <v>2.55E-09</v>
      </c>
      <c r="N350" s="5">
        <v>4.0093966444</v>
      </c>
      <c r="O350" s="5">
        <v>5881.4037282342</v>
      </c>
      <c r="P350">
        <f t="shared" si="37"/>
        <v>1.71550794951408E-09</v>
      </c>
      <c r="BP350" s="5">
        <v>9.9E-10</v>
      </c>
      <c r="BQ350" s="5">
        <v>5.70862227072</v>
      </c>
      <c r="BR350" s="5">
        <v>5540.0857894588</v>
      </c>
      <c r="BS350">
        <f t="shared" si="39"/>
        <v>-8.737338067020788E-11</v>
      </c>
    </row>
    <row r="351" spans="13:71" ht="12.75">
      <c r="M351" s="5">
        <v>2.53E-09</v>
      </c>
      <c r="N351" s="5">
        <v>4.73318493678</v>
      </c>
      <c r="O351" s="5">
        <v>16723.350142595</v>
      </c>
      <c r="P351">
        <f t="shared" si="37"/>
        <v>-2.3339381897605597E-09</v>
      </c>
      <c r="BP351" s="5">
        <v>1.1E-09</v>
      </c>
      <c r="BQ351" s="5">
        <v>0.37528037383</v>
      </c>
      <c r="BR351" s="5">
        <v>5863.5912061162</v>
      </c>
      <c r="BS351">
        <f t="shared" si="39"/>
        <v>-1.0918742330587227E-09</v>
      </c>
    </row>
    <row r="352" spans="13:71" ht="12.75">
      <c r="M352" s="5">
        <v>2.28E-09</v>
      </c>
      <c r="N352" s="5">
        <v>0.95333661324</v>
      </c>
      <c r="O352" s="5">
        <v>5540.0857894588</v>
      </c>
      <c r="P352">
        <f t="shared" si="37"/>
        <v>2.2603846442343487E-09</v>
      </c>
      <c r="BP352" s="5">
        <v>1.04E-09</v>
      </c>
      <c r="BQ352" s="5">
        <v>4.44107178366</v>
      </c>
      <c r="BR352" s="5">
        <v>2118.7638603784</v>
      </c>
      <c r="BS352">
        <f t="shared" si="39"/>
        <v>5.989031657724432E-10</v>
      </c>
    </row>
    <row r="353" spans="13:71" ht="12.75">
      <c r="M353" s="5">
        <v>3.19E-09</v>
      </c>
      <c r="N353" s="5">
        <v>1.38633229189</v>
      </c>
      <c r="O353" s="5">
        <v>163096.180361183</v>
      </c>
      <c r="P353">
        <f t="shared" si="37"/>
        <v>3.1371711075354696E-09</v>
      </c>
      <c r="BP353" s="5">
        <v>9.8E-10</v>
      </c>
      <c r="BQ353" s="5">
        <v>5.95877916706</v>
      </c>
      <c r="BR353" s="5">
        <v>4061.2192153944</v>
      </c>
      <c r="BS353">
        <f t="shared" si="39"/>
        <v>7.371247138391567E-10</v>
      </c>
    </row>
    <row r="354" spans="13:71" ht="12.75">
      <c r="M354" s="5">
        <v>2.24E-09</v>
      </c>
      <c r="N354" s="5">
        <v>1.65156322696</v>
      </c>
      <c r="O354" s="5">
        <v>10027.9031957292</v>
      </c>
      <c r="P354">
        <f t="shared" si="37"/>
        <v>1.4396380923738017E-09</v>
      </c>
      <c r="BP354" s="5">
        <v>1.13E-09</v>
      </c>
      <c r="BQ354" s="5">
        <v>1.24206857385</v>
      </c>
      <c r="BR354" s="5">
        <v>84672.4758445046</v>
      </c>
      <c r="BS354">
        <f t="shared" si="39"/>
        <v>-4.871297385723076E-10</v>
      </c>
    </row>
    <row r="355" spans="13:71" ht="12.75">
      <c r="M355" s="5">
        <v>2.26E-09</v>
      </c>
      <c r="N355" s="5">
        <v>0.34106460604</v>
      </c>
      <c r="O355" s="5">
        <v>17796.9591667858</v>
      </c>
      <c r="P355">
        <f t="shared" si="37"/>
        <v>1.164252007214291E-09</v>
      </c>
      <c r="BP355" s="5">
        <v>1.24E-09</v>
      </c>
      <c r="BQ355" s="5">
        <v>2.55619029867</v>
      </c>
      <c r="BR355" s="5">
        <v>12539.853380183</v>
      </c>
      <c r="BS355">
        <f t="shared" si="39"/>
        <v>1.0647294670288918E-09</v>
      </c>
    </row>
    <row r="356" spans="13:71" ht="12.75">
      <c r="M356" s="5">
        <v>2.36E-09</v>
      </c>
      <c r="N356" s="5">
        <v>4.19817431922</v>
      </c>
      <c r="O356" s="5">
        <v>19.66976089979</v>
      </c>
      <c r="P356">
        <f t="shared" si="37"/>
        <v>-6.355715276478629E-10</v>
      </c>
      <c r="BP356" s="5">
        <v>1.1E-09</v>
      </c>
      <c r="BQ356" s="5">
        <v>3.66952094329</v>
      </c>
      <c r="BR356" s="5">
        <v>238004.524157236</v>
      </c>
      <c r="BS356">
        <f t="shared" si="39"/>
        <v>-1.1707971473615177E-10</v>
      </c>
    </row>
    <row r="357" spans="13:71" ht="12.75">
      <c r="M357" s="5">
        <v>2.8E-09</v>
      </c>
      <c r="N357" s="5">
        <v>4.1408026897</v>
      </c>
      <c r="O357" s="5">
        <v>12539.853380183</v>
      </c>
      <c r="P357">
        <f t="shared" si="37"/>
        <v>1.4018086240590712E-09</v>
      </c>
      <c r="BP357" s="5">
        <v>1.12E-09</v>
      </c>
      <c r="BQ357" s="5">
        <v>4.32512422943</v>
      </c>
      <c r="BR357" s="5">
        <v>97238.6275444874</v>
      </c>
      <c r="BS357">
        <f t="shared" si="39"/>
        <v>-1.4969707709191212E-10</v>
      </c>
    </row>
    <row r="358" spans="13:71" ht="12.75">
      <c r="M358" s="5">
        <v>2.75E-09</v>
      </c>
      <c r="N358" s="5">
        <v>5.50306930248</v>
      </c>
      <c r="O358" s="5">
        <v>32.5325507914</v>
      </c>
      <c r="P358">
        <f t="shared" si="37"/>
        <v>2.553187722612468E-09</v>
      </c>
      <c r="BP358" s="5">
        <v>9.7E-10</v>
      </c>
      <c r="BQ358" s="5">
        <v>3.70151541181</v>
      </c>
      <c r="BR358" s="5">
        <v>11720.0688652316</v>
      </c>
      <c r="BS358">
        <f t="shared" si="39"/>
        <v>-9.69414646434854E-10</v>
      </c>
    </row>
    <row r="359" spans="13:71" ht="12.75">
      <c r="M359" s="5">
        <v>2.23E-09</v>
      </c>
      <c r="N359" s="5">
        <v>5.23334210294</v>
      </c>
      <c r="O359" s="5">
        <v>56.8983749356</v>
      </c>
      <c r="P359">
        <f t="shared" si="37"/>
        <v>2.0939205221069882E-09</v>
      </c>
      <c r="BP359" s="5">
        <v>1.2E-09</v>
      </c>
      <c r="BQ359" s="5">
        <v>1.26895630252</v>
      </c>
      <c r="BR359" s="5">
        <v>12043.574281889</v>
      </c>
      <c r="BS359">
        <f t="shared" si="39"/>
        <v>-7.861275688994227E-11</v>
      </c>
    </row>
    <row r="360" spans="13:71" ht="12.75">
      <c r="M360" s="5">
        <v>2.17E-09</v>
      </c>
      <c r="N360" s="5">
        <v>6.08587881787</v>
      </c>
      <c r="O360" s="5">
        <v>6805.6532680852</v>
      </c>
      <c r="P360">
        <f t="shared" si="37"/>
        <v>-2.633845920164137E-10</v>
      </c>
      <c r="BP360" s="5">
        <v>9.4E-10</v>
      </c>
      <c r="BQ360" s="5">
        <v>2.56461130309</v>
      </c>
      <c r="BR360" s="5">
        <v>19004.6479494084</v>
      </c>
      <c r="BS360">
        <f t="shared" si="39"/>
        <v>-8.934574707976216E-10</v>
      </c>
    </row>
    <row r="361" spans="13:71" ht="12.75">
      <c r="M361" s="5">
        <v>2.8E-09</v>
      </c>
      <c r="N361" s="5">
        <v>4.52472044653</v>
      </c>
      <c r="O361" s="5">
        <v>6016.4688082696</v>
      </c>
      <c r="P361">
        <f t="shared" si="37"/>
        <v>-2.7745859869284478E-09</v>
      </c>
      <c r="BP361" s="5">
        <v>1.17E-09</v>
      </c>
      <c r="BQ361" s="5">
        <v>3.65425622684</v>
      </c>
      <c r="BR361" s="5">
        <v>34520.3093093808</v>
      </c>
      <c r="BS361">
        <f t="shared" si="39"/>
        <v>1.1192141662390398E-09</v>
      </c>
    </row>
    <row r="362" spans="13:71" ht="12.75">
      <c r="M362" s="5">
        <v>2.27E-09</v>
      </c>
      <c r="N362" s="5">
        <v>5.06509843737</v>
      </c>
      <c r="O362" s="5">
        <v>6277.552925684</v>
      </c>
      <c r="P362">
        <f t="shared" si="37"/>
        <v>2.0238827636268633E-09</v>
      </c>
      <c r="BP362" s="5">
        <v>9.8E-10</v>
      </c>
      <c r="BQ362" s="5">
        <v>0.13589994287</v>
      </c>
      <c r="BR362" s="5">
        <v>11080.1715789176</v>
      </c>
      <c r="BS362">
        <f t="shared" si="39"/>
        <v>-4.372737615949827E-10</v>
      </c>
    </row>
    <row r="363" spans="13:71" ht="12.75">
      <c r="M363" s="5">
        <v>2.26E-09</v>
      </c>
      <c r="N363" s="5">
        <v>5.17755154305</v>
      </c>
      <c r="O363" s="5">
        <v>11720.0688652316</v>
      </c>
      <c r="P363">
        <f t="shared" si="37"/>
        <v>-2.9185852976067326E-10</v>
      </c>
      <c r="BP363" s="5">
        <v>9.7E-10</v>
      </c>
      <c r="BQ363" s="5">
        <v>5.38330115253</v>
      </c>
      <c r="BR363" s="5">
        <v>7834.1210726394</v>
      </c>
      <c r="BS363">
        <f t="shared" si="39"/>
        <v>4.803110984746324E-10</v>
      </c>
    </row>
    <row r="364" spans="13:71" ht="12.75">
      <c r="M364" s="5">
        <v>2.45E-09</v>
      </c>
      <c r="N364" s="5">
        <v>3.96486270306</v>
      </c>
      <c r="O364" s="5">
        <v>22.7752014508</v>
      </c>
      <c r="P364">
        <f t="shared" si="37"/>
        <v>-1.1048818674360659E-09</v>
      </c>
      <c r="BP364" s="5">
        <v>9.7E-10</v>
      </c>
      <c r="BQ364" s="5">
        <v>2.46722096722</v>
      </c>
      <c r="BR364" s="5">
        <v>71980.6335747311</v>
      </c>
      <c r="BS364">
        <f t="shared" si="39"/>
        <v>8.789944049072875E-10</v>
      </c>
    </row>
    <row r="365" spans="13:71" ht="12.75">
      <c r="M365" s="5">
        <v>2.2E-09</v>
      </c>
      <c r="N365" s="5">
        <v>4.7207808197</v>
      </c>
      <c r="O365" s="5">
        <v>6.62855890001</v>
      </c>
      <c r="P365">
        <f t="shared" si="37"/>
        <v>1.9726909304498926E-10</v>
      </c>
      <c r="BP365" s="5">
        <v>9.5E-10</v>
      </c>
      <c r="BQ365" s="5">
        <v>5.36958330451</v>
      </c>
      <c r="BR365" s="5">
        <v>6288.5987742988</v>
      </c>
      <c r="BS365">
        <f t="shared" si="39"/>
        <v>5.829818573557616E-10</v>
      </c>
    </row>
    <row r="366" spans="13:71" ht="12.75">
      <c r="M366" s="5">
        <v>2.07E-09</v>
      </c>
      <c r="N366" s="5">
        <v>5.71701403951</v>
      </c>
      <c r="O366" s="5">
        <v>41.5507909848</v>
      </c>
      <c r="P366">
        <f t="shared" si="37"/>
        <v>2.0667618971742094E-09</v>
      </c>
      <c r="BP366" s="5">
        <v>1.11E-09</v>
      </c>
      <c r="BQ366" s="5">
        <v>5.01961920313</v>
      </c>
      <c r="BR366" s="5">
        <v>11823.1616394502</v>
      </c>
      <c r="BS366">
        <f t="shared" si="39"/>
        <v>9.209300798945435E-10</v>
      </c>
    </row>
    <row r="367" spans="13:71" ht="12.75">
      <c r="M367" s="5">
        <v>2.04E-09</v>
      </c>
      <c r="N367" s="5">
        <v>3.9122741125</v>
      </c>
      <c r="O367" s="5">
        <v>2699.7348193176</v>
      </c>
      <c r="P367">
        <f t="shared" si="37"/>
        <v>1.6423695888040307E-09</v>
      </c>
      <c r="BP367" s="5">
        <v>9E-10</v>
      </c>
      <c r="BQ367" s="5">
        <v>2.72299804525</v>
      </c>
      <c r="BR367" s="5">
        <v>26880.3198130326</v>
      </c>
      <c r="BS367">
        <f t="shared" si="39"/>
        <v>8.812786767640903E-10</v>
      </c>
    </row>
    <row r="368" spans="13:71" ht="12.75">
      <c r="M368" s="5">
        <v>2.09E-09</v>
      </c>
      <c r="N368" s="5">
        <v>0.86881969011</v>
      </c>
      <c r="O368" s="5">
        <v>6321.1035226272</v>
      </c>
      <c r="P368">
        <f t="shared" si="37"/>
        <v>-2.0873962695349034E-09</v>
      </c>
      <c r="BP368" s="5">
        <v>9.9E-10</v>
      </c>
      <c r="BQ368" s="5">
        <v>0.90164266377</v>
      </c>
      <c r="BR368" s="5">
        <v>18635.9284545362</v>
      </c>
      <c r="BS368">
        <f t="shared" si="39"/>
        <v>-9.085560701546972E-10</v>
      </c>
    </row>
    <row r="369" spans="13:71" ht="12.75">
      <c r="M369" s="5">
        <v>2E-09</v>
      </c>
      <c r="N369" s="5">
        <v>2.11984445273</v>
      </c>
      <c r="O369" s="5">
        <v>4274.5183108324</v>
      </c>
      <c r="P369">
        <f t="shared" si="37"/>
        <v>-7.201454523611923E-10</v>
      </c>
      <c r="BP369" s="5">
        <v>1.26E-09</v>
      </c>
      <c r="BQ369" s="5">
        <v>4.78722177847</v>
      </c>
      <c r="BR369" s="5">
        <v>305281.943071048</v>
      </c>
      <c r="BS369">
        <f t="shared" si="39"/>
        <v>-1.0000146243608015E-09</v>
      </c>
    </row>
    <row r="370" spans="13:71" ht="12.75">
      <c r="M370" s="5">
        <v>2E-09</v>
      </c>
      <c r="N370" s="5">
        <v>5.39839888163</v>
      </c>
      <c r="O370" s="5">
        <v>6019.9919266186</v>
      </c>
      <c r="P370">
        <f t="shared" si="37"/>
        <v>-1.4188610338960125E-09</v>
      </c>
      <c r="BP370" s="5">
        <v>9.3E-10</v>
      </c>
      <c r="BQ370" s="5">
        <v>0.21240380046</v>
      </c>
      <c r="BR370" s="5">
        <v>18139.2945014159</v>
      </c>
      <c r="BS370">
        <f t="shared" si="39"/>
        <v>-9.257093834078237E-10</v>
      </c>
    </row>
    <row r="371" spans="13:71" ht="12.75">
      <c r="M371" s="5">
        <v>2.09E-09</v>
      </c>
      <c r="N371" s="5">
        <v>5.67606291663</v>
      </c>
      <c r="O371" s="5">
        <v>11293.4706743556</v>
      </c>
      <c r="P371">
        <f t="shared" si="37"/>
        <v>2.064265910084763E-09</v>
      </c>
      <c r="BP371" s="5">
        <v>1.24E-09</v>
      </c>
      <c r="BQ371" s="5">
        <v>5.00979495566</v>
      </c>
      <c r="BR371" s="5">
        <v>172146.97134054</v>
      </c>
      <c r="BS371">
        <f t="shared" si="39"/>
        <v>1.0672304367764096E-10</v>
      </c>
    </row>
    <row r="372" spans="13:71" ht="12.75">
      <c r="M372" s="5">
        <v>2.52E-09</v>
      </c>
      <c r="N372" s="5">
        <v>1.64965729351</v>
      </c>
      <c r="O372" s="5">
        <v>9380.9596727172</v>
      </c>
      <c r="P372">
        <f t="shared" si="37"/>
        <v>-2.071510277217382E-09</v>
      </c>
      <c r="BP372" s="5">
        <v>9.9E-10</v>
      </c>
      <c r="BQ372" s="5">
        <v>5.67090026475</v>
      </c>
      <c r="BR372" s="5">
        <v>16522.6597160022</v>
      </c>
      <c r="BS372">
        <f t="shared" si="39"/>
        <v>3.4149147449851594E-10</v>
      </c>
    </row>
    <row r="373" spans="13:71" ht="12.75">
      <c r="M373" s="5">
        <v>2.75E-09</v>
      </c>
      <c r="N373" s="5">
        <v>5.04826903506</v>
      </c>
      <c r="O373" s="5">
        <v>73.297125859</v>
      </c>
      <c r="P373">
        <f t="shared" si="37"/>
        <v>2.597262460342307E-09</v>
      </c>
      <c r="BP373" s="5">
        <v>9.2E-10</v>
      </c>
      <c r="BQ373" s="5">
        <v>2.28180963676</v>
      </c>
      <c r="BR373" s="5">
        <v>12491.3701014155</v>
      </c>
      <c r="BS373">
        <f t="shared" si="39"/>
        <v>1.4920247436631529E-10</v>
      </c>
    </row>
    <row r="374" spans="13:71" ht="12.75">
      <c r="M374" s="5">
        <v>2.08E-09</v>
      </c>
      <c r="N374" s="5">
        <v>1.88207277133</v>
      </c>
      <c r="O374" s="5">
        <v>11300.5842213564</v>
      </c>
      <c r="P374">
        <f t="shared" si="37"/>
        <v>-1.5608263209841837E-09</v>
      </c>
      <c r="BP374" s="5">
        <v>9E-10</v>
      </c>
      <c r="BQ374" s="5">
        <v>4.50544881196</v>
      </c>
      <c r="BR374" s="5">
        <v>40077.61957352</v>
      </c>
      <c r="BS374">
        <f t="shared" si="39"/>
        <v>8.664712552639547E-10</v>
      </c>
    </row>
    <row r="375" spans="13:71" ht="12.75">
      <c r="M375" s="5">
        <v>2.72E-09</v>
      </c>
      <c r="N375" s="5">
        <v>0.74640926842</v>
      </c>
      <c r="O375" s="5">
        <v>1975.492545856</v>
      </c>
      <c r="P375">
        <f t="shared" si="37"/>
        <v>2.697771688953197E-09</v>
      </c>
      <c r="BP375" s="5">
        <v>1E-09</v>
      </c>
      <c r="BQ375" s="5">
        <v>2.00639461612</v>
      </c>
      <c r="BR375" s="5">
        <v>12323.4230960088</v>
      </c>
      <c r="BS375">
        <f t="shared" si="39"/>
        <v>-8.230382397030034E-10</v>
      </c>
    </row>
    <row r="376" spans="13:71" ht="12.75">
      <c r="M376" s="5">
        <v>1.99E-09</v>
      </c>
      <c r="N376" s="5">
        <v>3.30836672397</v>
      </c>
      <c r="O376" s="5">
        <v>22743.4093795164</v>
      </c>
      <c r="P376">
        <f t="shared" si="37"/>
        <v>1.9666399777026072E-09</v>
      </c>
      <c r="BP376" s="5">
        <v>9.5E-10</v>
      </c>
      <c r="BQ376" s="5">
        <v>5.68801979087</v>
      </c>
      <c r="BR376" s="5">
        <v>14919.0178537546</v>
      </c>
      <c r="BS376">
        <f t="shared" si="39"/>
        <v>8.775395397677009E-10</v>
      </c>
    </row>
    <row r="377" spans="13:71" ht="12.75">
      <c r="M377" s="5">
        <v>2.69E-09</v>
      </c>
      <c r="N377" s="5">
        <v>4.48560812155</v>
      </c>
      <c r="O377" s="5">
        <v>64471.9912417448</v>
      </c>
      <c r="P377">
        <f t="shared" si="37"/>
        <v>-5.693025542404341E-10</v>
      </c>
      <c r="BP377" s="5">
        <v>8.7E-10</v>
      </c>
      <c r="BQ377" s="5">
        <v>1.86043406047</v>
      </c>
      <c r="BR377" s="5">
        <v>27707.5424942948</v>
      </c>
      <c r="BS377">
        <f t="shared" si="39"/>
        <v>-8.220245546786432E-10</v>
      </c>
    </row>
    <row r="378" spans="13:71" ht="12.75">
      <c r="M378" s="5">
        <v>1.92E-09</v>
      </c>
      <c r="N378" s="5">
        <v>2.17464236325</v>
      </c>
      <c r="O378" s="5">
        <v>5863.5912061162</v>
      </c>
      <c r="P378">
        <f t="shared" si="37"/>
        <v>6.587054810191674E-10</v>
      </c>
      <c r="BP378" s="5">
        <v>1.05E-09</v>
      </c>
      <c r="BQ378" s="5">
        <v>3.02903468417</v>
      </c>
      <c r="BR378" s="5">
        <v>22345.2603761082</v>
      </c>
      <c r="BS378">
        <f t="shared" si="39"/>
        <v>6.010423487877324E-10</v>
      </c>
    </row>
    <row r="379" spans="13:71" ht="12.75">
      <c r="M379" s="5">
        <v>2.28E-09</v>
      </c>
      <c r="N379" s="5">
        <v>5.85373115869</v>
      </c>
      <c r="O379" s="5">
        <v>128.0188433374</v>
      </c>
      <c r="P379">
        <f t="shared" si="37"/>
        <v>9.467773011802479E-10</v>
      </c>
      <c r="BP379" s="5">
        <v>8.7E-10</v>
      </c>
      <c r="BQ379" s="5">
        <v>5.43970168638</v>
      </c>
      <c r="BR379" s="5">
        <v>6272.0301497275</v>
      </c>
      <c r="BS379">
        <f t="shared" si="39"/>
        <v>6.204719534774983E-10</v>
      </c>
    </row>
    <row r="380" spans="13:71" ht="12.75">
      <c r="M380" s="5">
        <v>2.61E-09</v>
      </c>
      <c r="N380" s="5">
        <v>2.64321183295</v>
      </c>
      <c r="O380" s="5">
        <v>55022.9357470744</v>
      </c>
      <c r="P380">
        <f t="shared" si="37"/>
        <v>2.5103505502576687E-09</v>
      </c>
      <c r="BP380" s="5">
        <v>8.9E-10</v>
      </c>
      <c r="BQ380" s="5">
        <v>1.63389387182</v>
      </c>
      <c r="BR380" s="5">
        <v>33326.5787331742</v>
      </c>
      <c r="BS380">
        <f t="shared" si="39"/>
        <v>-6.946616957641955E-10</v>
      </c>
    </row>
    <row r="381" spans="13:71" ht="12.75">
      <c r="M381" s="5">
        <v>2.2E-09</v>
      </c>
      <c r="N381" s="5">
        <v>5.75012110079</v>
      </c>
      <c r="O381" s="5">
        <v>29.429508536</v>
      </c>
      <c r="P381">
        <f t="shared" si="37"/>
        <v>2.167658315316439E-09</v>
      </c>
      <c r="BP381" s="5">
        <v>8.2E-10</v>
      </c>
      <c r="BQ381" s="5">
        <v>5.58298993353</v>
      </c>
      <c r="BR381" s="5">
        <v>10241.2022911672</v>
      </c>
      <c r="BS381">
        <f t="shared" si="39"/>
        <v>6.743115341457063E-10</v>
      </c>
    </row>
    <row r="382" spans="13:71" ht="12.75">
      <c r="M382" s="5">
        <v>1.87E-09</v>
      </c>
      <c r="N382" s="5">
        <v>4.03230554718</v>
      </c>
      <c r="O382" s="5">
        <v>467.9649903544</v>
      </c>
      <c r="P382">
        <f t="shared" si="37"/>
        <v>-1.7540584281878738E-09</v>
      </c>
      <c r="BP382" s="5">
        <v>9.4E-10</v>
      </c>
      <c r="BQ382" s="5">
        <v>5.47749711149</v>
      </c>
      <c r="BR382" s="5">
        <v>9924.8104215106</v>
      </c>
      <c r="BS382">
        <f t="shared" si="39"/>
        <v>-1.0917598348100564E-10</v>
      </c>
    </row>
    <row r="383" spans="13:71" ht="12.75">
      <c r="M383" s="5">
        <v>2E-09</v>
      </c>
      <c r="N383" s="5">
        <v>5.60556112058</v>
      </c>
      <c r="O383" s="5">
        <v>1066.49547719</v>
      </c>
      <c r="P383">
        <f t="shared" si="37"/>
        <v>1.9782006197029184E-09</v>
      </c>
      <c r="BP383" s="5">
        <v>8.2E-10</v>
      </c>
      <c r="BQ383" s="5">
        <v>4.71988314145</v>
      </c>
      <c r="BR383" s="5">
        <v>15141.390794312</v>
      </c>
      <c r="BS383">
        <f t="shared" si="39"/>
        <v>-4.5269016370931217E-10</v>
      </c>
    </row>
    <row r="384" spans="13:71" ht="12.75">
      <c r="M384" s="5">
        <v>2.31E-09</v>
      </c>
      <c r="N384" s="5">
        <v>1.09802712785</v>
      </c>
      <c r="O384" s="5">
        <v>12341.8069042809</v>
      </c>
      <c r="P384">
        <f t="shared" si="37"/>
        <v>-6.47521015502988E-10</v>
      </c>
      <c r="BP384" s="5">
        <v>9.7E-10</v>
      </c>
      <c r="BQ384" s="5">
        <v>5.61458778738</v>
      </c>
      <c r="BR384" s="5">
        <v>2787.0430238574</v>
      </c>
      <c r="BS384">
        <f t="shared" si="39"/>
        <v>-5.223423536646134E-10</v>
      </c>
    </row>
    <row r="385" spans="13:71" ht="12.75">
      <c r="M385" s="5">
        <v>1.99E-09</v>
      </c>
      <c r="N385" s="5">
        <v>0.295006252</v>
      </c>
      <c r="O385" s="5">
        <v>149.5631971346</v>
      </c>
      <c r="P385">
        <f t="shared" si="37"/>
        <v>-1.0584037519571655E-09</v>
      </c>
      <c r="BP385" s="5">
        <v>9.6E-10</v>
      </c>
      <c r="BQ385" s="5">
        <v>3.89073946348</v>
      </c>
      <c r="BR385" s="5">
        <v>6379.0550772092</v>
      </c>
      <c r="BS385">
        <f t="shared" si="39"/>
        <v>8.223957068725154E-10</v>
      </c>
    </row>
    <row r="386" spans="13:71" ht="12.75">
      <c r="M386" s="5">
        <v>2.49E-09</v>
      </c>
      <c r="N386" s="5">
        <v>5.10473210814</v>
      </c>
      <c r="O386" s="5">
        <v>7875.6718636242</v>
      </c>
      <c r="P386">
        <f aca="true" t="shared" si="40" ref="P386:P449">M386*COS(N386+O386*$E$16)</f>
        <v>7.033430483573678E-10</v>
      </c>
      <c r="BP386" s="5">
        <v>8.1E-10</v>
      </c>
      <c r="BQ386" s="5">
        <v>3.13038482444</v>
      </c>
      <c r="BR386" s="5">
        <v>36147.4098773004</v>
      </c>
      <c r="BS386">
        <f aca="true" t="shared" si="41" ref="BS386:BS449">BP386*COS(BQ386+BR386*$E$16)</f>
        <v>5.018839853877438E-10</v>
      </c>
    </row>
    <row r="387" spans="13:71" ht="12.75">
      <c r="M387" s="5">
        <v>2.08E-09</v>
      </c>
      <c r="N387" s="5">
        <v>0.93013835019</v>
      </c>
      <c r="O387" s="5">
        <v>14919.0178537546</v>
      </c>
      <c r="P387">
        <f t="shared" si="40"/>
        <v>-7.085518179453108E-10</v>
      </c>
      <c r="BP387" s="5">
        <v>1.1E-09</v>
      </c>
      <c r="BQ387" s="5">
        <v>4.89978492291</v>
      </c>
      <c r="BR387" s="5">
        <v>72140.6286666873</v>
      </c>
      <c r="BS387">
        <f t="shared" si="41"/>
        <v>1.3331838228463103E-10</v>
      </c>
    </row>
    <row r="388" spans="13:71" ht="12.75">
      <c r="M388" s="5">
        <v>1.79E-09</v>
      </c>
      <c r="N388" s="5">
        <v>0.87104393079</v>
      </c>
      <c r="O388" s="5">
        <v>12721.572099417</v>
      </c>
      <c r="P388">
        <f t="shared" si="40"/>
        <v>1.7899407130690719E-09</v>
      </c>
      <c r="BP388" s="5">
        <v>9.7E-10</v>
      </c>
      <c r="BQ388" s="5">
        <v>5.20764563059</v>
      </c>
      <c r="BR388" s="5">
        <v>6303.4311693902</v>
      </c>
      <c r="BS388">
        <f t="shared" si="41"/>
        <v>5.796645776006821E-10</v>
      </c>
    </row>
    <row r="389" spans="13:71" ht="12.75">
      <c r="M389" s="5">
        <v>2.03E-09</v>
      </c>
      <c r="N389" s="5">
        <v>1.56920753653</v>
      </c>
      <c r="O389" s="5">
        <v>28286.9904848612</v>
      </c>
      <c r="P389">
        <f t="shared" si="40"/>
        <v>-1.9865059477386544E-09</v>
      </c>
      <c r="BP389" s="5">
        <v>8.2E-10</v>
      </c>
      <c r="BQ389" s="5">
        <v>5.26342716139</v>
      </c>
      <c r="BR389" s="5">
        <v>9814.6041002912</v>
      </c>
      <c r="BS389">
        <f t="shared" si="41"/>
        <v>8.141191371852107E-10</v>
      </c>
    </row>
    <row r="390" spans="13:71" ht="12.75">
      <c r="M390" s="5">
        <v>1.79E-09</v>
      </c>
      <c r="N390" s="5">
        <v>2.47036386443</v>
      </c>
      <c r="O390" s="5">
        <v>16062.1845261168</v>
      </c>
      <c r="P390">
        <f t="shared" si="40"/>
        <v>3.86405364786081E-10</v>
      </c>
      <c r="BP390" s="5">
        <v>1.09E-09</v>
      </c>
      <c r="BQ390" s="5">
        <v>2.3555558977</v>
      </c>
      <c r="BR390" s="5">
        <v>83286.9142695535</v>
      </c>
      <c r="BS390">
        <f t="shared" si="41"/>
        <v>6.496212954242589E-10</v>
      </c>
    </row>
    <row r="391" spans="13:71" ht="12.75">
      <c r="M391" s="5">
        <v>1.98E-09</v>
      </c>
      <c r="N391" s="5">
        <v>3.54061588502</v>
      </c>
      <c r="O391" s="5">
        <v>30.914125635</v>
      </c>
      <c r="P391">
        <f t="shared" si="40"/>
        <v>-1.4095033208369784E-09</v>
      </c>
      <c r="BP391" s="5">
        <v>9.7E-10</v>
      </c>
      <c r="BQ391" s="5">
        <v>2.58492958057</v>
      </c>
      <c r="BR391" s="5">
        <v>30666.1549584328</v>
      </c>
      <c r="BS391">
        <f t="shared" si="41"/>
        <v>-5.423489492893324E-10</v>
      </c>
    </row>
    <row r="392" spans="13:71" ht="12.75">
      <c r="M392" s="5">
        <v>1.71E-09</v>
      </c>
      <c r="N392" s="5">
        <v>3.45356518113</v>
      </c>
      <c r="O392" s="5">
        <v>5327.4761083828</v>
      </c>
      <c r="P392">
        <f t="shared" si="40"/>
        <v>1.6602470096765826E-09</v>
      </c>
      <c r="BP392" s="5">
        <v>9.3E-10</v>
      </c>
      <c r="BQ392" s="5">
        <v>1.32651591333</v>
      </c>
      <c r="BR392" s="5">
        <v>23020.6530865879</v>
      </c>
      <c r="BS392">
        <f t="shared" si="41"/>
        <v>2.7621869609730123E-10</v>
      </c>
    </row>
    <row r="393" spans="13:71" ht="12.75">
      <c r="M393" s="5">
        <v>1.83E-09</v>
      </c>
      <c r="N393" s="5">
        <v>0.72325421604</v>
      </c>
      <c r="O393" s="5">
        <v>6272.0301497275</v>
      </c>
      <c r="P393">
        <f t="shared" si="40"/>
        <v>-1.2774762658756722E-09</v>
      </c>
      <c r="BP393" s="5">
        <v>7.8E-10</v>
      </c>
      <c r="BQ393" s="5">
        <v>3.99588630754</v>
      </c>
      <c r="BR393" s="5">
        <v>11293.4706743556</v>
      </c>
      <c r="BS393">
        <f t="shared" si="41"/>
        <v>-2.0539425837059627E-10</v>
      </c>
    </row>
    <row r="394" spans="13:71" ht="12.75">
      <c r="M394" s="5">
        <v>2.16E-09</v>
      </c>
      <c r="N394" s="5">
        <v>2.97174580686</v>
      </c>
      <c r="O394" s="5">
        <v>19402.7969528166</v>
      </c>
      <c r="P394">
        <f t="shared" si="40"/>
        <v>-1.6918285593681216E-09</v>
      </c>
      <c r="BP394" s="5">
        <v>9E-10</v>
      </c>
      <c r="BQ394" s="5">
        <v>0.57771932738</v>
      </c>
      <c r="BR394" s="5">
        <v>26482.1708096244</v>
      </c>
      <c r="BS394">
        <f t="shared" si="41"/>
        <v>5.194395777535698E-10</v>
      </c>
    </row>
    <row r="395" spans="13:71" ht="12.75">
      <c r="M395" s="5">
        <v>1.68E-09</v>
      </c>
      <c r="N395" s="5">
        <v>2.51550550242</v>
      </c>
      <c r="O395" s="5">
        <v>23937.856389741</v>
      </c>
      <c r="P395">
        <f t="shared" si="40"/>
        <v>6.788727899479358E-10</v>
      </c>
      <c r="BP395" s="5">
        <v>1.06E-09</v>
      </c>
      <c r="BQ395" s="5">
        <v>3.92012705073</v>
      </c>
      <c r="BR395" s="5">
        <v>62883.3551395136</v>
      </c>
      <c r="BS395">
        <f t="shared" si="41"/>
        <v>-1.0505410751818107E-09</v>
      </c>
    </row>
    <row r="396" spans="13:71" ht="12.75">
      <c r="M396" s="5">
        <v>1.95E-09</v>
      </c>
      <c r="N396" s="5">
        <v>0.09045393425</v>
      </c>
      <c r="O396" s="5">
        <v>156.4007205024</v>
      </c>
      <c r="P396">
        <f t="shared" si="40"/>
        <v>-8.309473086534805E-10</v>
      </c>
      <c r="BP396" s="5">
        <v>9.8E-10</v>
      </c>
      <c r="BQ396" s="5">
        <v>2.94397773524</v>
      </c>
      <c r="BR396" s="5">
        <v>316.3918696566</v>
      </c>
      <c r="BS396">
        <f t="shared" si="41"/>
        <v>8.375261044176735E-10</v>
      </c>
    </row>
    <row r="397" spans="13:71" ht="12.75">
      <c r="M397" s="5">
        <v>1.79E-09</v>
      </c>
      <c r="N397" s="5">
        <v>4.4947179809</v>
      </c>
      <c r="O397" s="5">
        <v>31415.379249957</v>
      </c>
      <c r="P397">
        <f t="shared" si="40"/>
        <v>1.3600668246555013E-09</v>
      </c>
      <c r="BP397" s="5">
        <v>7.6E-10</v>
      </c>
      <c r="BQ397" s="5">
        <v>3.96310417608</v>
      </c>
      <c r="BR397" s="5">
        <v>29026.4852295077</v>
      </c>
      <c r="BS397">
        <f t="shared" si="41"/>
        <v>-4.816854989061713E-10</v>
      </c>
    </row>
    <row r="398" spans="13:71" ht="12.75">
      <c r="M398" s="5">
        <v>2.16E-09</v>
      </c>
      <c r="N398" s="5">
        <v>0.42177594328</v>
      </c>
      <c r="O398" s="5">
        <v>23539.7073863328</v>
      </c>
      <c r="P398">
        <f t="shared" si="40"/>
        <v>1.9401220588989566E-09</v>
      </c>
      <c r="BP398" s="5">
        <v>7.8E-10</v>
      </c>
      <c r="BQ398" s="5">
        <v>1.97068529306</v>
      </c>
      <c r="BR398" s="5">
        <v>90279.9231681032</v>
      </c>
      <c r="BS398">
        <f t="shared" si="41"/>
        <v>1.988122749090662E-11</v>
      </c>
    </row>
    <row r="399" spans="13:71" ht="12.75">
      <c r="M399" s="5">
        <v>1.89E-09</v>
      </c>
      <c r="N399" s="5">
        <v>0.37542530191</v>
      </c>
      <c r="O399" s="5">
        <v>9814.6041002912</v>
      </c>
      <c r="P399">
        <f t="shared" si="40"/>
        <v>1.0536303038783701E-10</v>
      </c>
      <c r="BP399" s="5">
        <v>7.6E-10</v>
      </c>
      <c r="BQ399" s="5">
        <v>0.23027966596</v>
      </c>
      <c r="BR399" s="5">
        <v>21424.4666443034</v>
      </c>
      <c r="BS399">
        <f t="shared" si="41"/>
        <v>6.365065986196605E-10</v>
      </c>
    </row>
    <row r="400" spans="13:71" ht="12.75">
      <c r="M400" s="5">
        <v>2.18E-09</v>
      </c>
      <c r="N400" s="5">
        <v>2.36835880025</v>
      </c>
      <c r="O400" s="5">
        <v>16627.3709153772</v>
      </c>
      <c r="P400">
        <f t="shared" si="40"/>
        <v>1.521786365665687E-09</v>
      </c>
      <c r="BP400" s="5">
        <v>8E-10</v>
      </c>
      <c r="BQ400" s="5">
        <v>2.23099742212</v>
      </c>
      <c r="BR400" s="5">
        <v>266.6070417218</v>
      </c>
      <c r="BS400">
        <f t="shared" si="41"/>
        <v>5.696634597475167E-10</v>
      </c>
    </row>
    <row r="401" spans="13:71" ht="12.75">
      <c r="M401" s="5">
        <v>1.66E-09</v>
      </c>
      <c r="N401" s="5">
        <v>4.23182968446</v>
      </c>
      <c r="O401" s="5">
        <v>16840.6700108151</v>
      </c>
      <c r="P401">
        <f t="shared" si="40"/>
        <v>-1.4212130741430873E-09</v>
      </c>
      <c r="BP401" s="5">
        <v>7.9E-10</v>
      </c>
      <c r="BQ401" s="5">
        <v>1.46227790922</v>
      </c>
      <c r="BR401" s="5">
        <v>8982.810669309</v>
      </c>
      <c r="BS401">
        <f t="shared" si="41"/>
        <v>1.8909225465111836E-10</v>
      </c>
    </row>
    <row r="402" spans="13:71" ht="12.75">
      <c r="M402" s="5">
        <v>2E-09</v>
      </c>
      <c r="N402" s="5">
        <v>2.02153258098</v>
      </c>
      <c r="O402" s="5">
        <v>16097.6799502826</v>
      </c>
      <c r="P402">
        <f t="shared" si="40"/>
        <v>4.063951231843188E-10</v>
      </c>
      <c r="BP402" s="5">
        <v>1.02E-09</v>
      </c>
      <c r="BQ402" s="5">
        <v>4.92129953565</v>
      </c>
      <c r="BR402" s="5">
        <v>5621.8429232104</v>
      </c>
      <c r="BS402">
        <f t="shared" si="41"/>
        <v>1.3046387137317157E-10</v>
      </c>
    </row>
    <row r="403" spans="13:71" ht="12.75">
      <c r="M403" s="5">
        <v>1.69E-09</v>
      </c>
      <c r="N403" s="5">
        <v>0.91318727</v>
      </c>
      <c r="O403" s="5">
        <v>95.9792272178</v>
      </c>
      <c r="P403">
        <f t="shared" si="40"/>
        <v>-8.411706652114603E-10</v>
      </c>
      <c r="BP403" s="5">
        <v>1E-09</v>
      </c>
      <c r="BQ403" s="5">
        <v>0.39243148321</v>
      </c>
      <c r="BR403" s="5">
        <v>24279.1070182135</v>
      </c>
      <c r="BS403">
        <f t="shared" si="41"/>
        <v>-9.96754342735407E-10</v>
      </c>
    </row>
    <row r="404" spans="13:71" ht="12.75">
      <c r="M404" s="5">
        <v>2.11E-09</v>
      </c>
      <c r="N404" s="5">
        <v>5.73370637657</v>
      </c>
      <c r="O404" s="5">
        <v>151.8972810852</v>
      </c>
      <c r="P404">
        <f t="shared" si="40"/>
        <v>5.322919752546978E-10</v>
      </c>
      <c r="BP404" s="5">
        <v>7.1E-10</v>
      </c>
      <c r="BQ404" s="5">
        <v>1.52014858474</v>
      </c>
      <c r="BR404" s="5">
        <v>33794.5437235286</v>
      </c>
      <c r="BS404">
        <f t="shared" si="41"/>
        <v>-1.7222948158190668E-10</v>
      </c>
    </row>
    <row r="405" spans="13:71" ht="12.75">
      <c r="M405" s="5">
        <v>2.04E-09</v>
      </c>
      <c r="N405" s="5">
        <v>0.42643085174</v>
      </c>
      <c r="O405" s="5">
        <v>515.463871093</v>
      </c>
      <c r="P405">
        <f t="shared" si="40"/>
        <v>1.816044919995642E-09</v>
      </c>
      <c r="BP405" s="5">
        <v>7.6E-10</v>
      </c>
      <c r="BQ405" s="5">
        <v>0.22880641443</v>
      </c>
      <c r="BR405" s="5">
        <v>57375.8019008462</v>
      </c>
      <c r="BS405">
        <f t="shared" si="41"/>
        <v>3.661886851994093E-10</v>
      </c>
    </row>
    <row r="406" spans="13:71" ht="12.75">
      <c r="M406" s="5">
        <v>2.12E-09</v>
      </c>
      <c r="N406" s="5">
        <v>3.00233538977</v>
      </c>
      <c r="O406" s="5">
        <v>12043.574281889</v>
      </c>
      <c r="P406">
        <f t="shared" si="40"/>
        <v>2.1100291068711293E-09</v>
      </c>
      <c r="BP406" s="5">
        <v>9.1E-10</v>
      </c>
      <c r="BQ406" s="5">
        <v>0.96515913904</v>
      </c>
      <c r="BR406" s="5">
        <v>48739.859897083</v>
      </c>
      <c r="BS406">
        <f t="shared" si="41"/>
        <v>-7.663439389243665E-10</v>
      </c>
    </row>
    <row r="407" spans="13:71" ht="12.75">
      <c r="M407" s="5">
        <v>1.92E-09</v>
      </c>
      <c r="N407" s="5">
        <v>5.46153589821</v>
      </c>
      <c r="O407" s="5">
        <v>6379.0550772092</v>
      </c>
      <c r="P407">
        <f t="shared" si="40"/>
        <v>-9.904855157718428E-10</v>
      </c>
      <c r="BP407" s="5">
        <v>7.5E-10</v>
      </c>
      <c r="BQ407" s="5">
        <v>2.77638585157</v>
      </c>
      <c r="BR407" s="5">
        <v>12964.300703391</v>
      </c>
      <c r="BS407">
        <f t="shared" si="41"/>
        <v>1.3554073472576876E-10</v>
      </c>
    </row>
    <row r="408" spans="13:71" ht="12.75">
      <c r="M408" s="5">
        <v>1.65E-09</v>
      </c>
      <c r="N408" s="5">
        <v>1.38698167064</v>
      </c>
      <c r="O408" s="5">
        <v>4171.4255366138</v>
      </c>
      <c r="P408">
        <f t="shared" si="40"/>
        <v>-1.153869580796629E-09</v>
      </c>
      <c r="BP408" s="5">
        <v>7.7E-10</v>
      </c>
      <c r="BQ408" s="5">
        <v>5.18846946344</v>
      </c>
      <c r="BR408" s="5">
        <v>11520.9968637952</v>
      </c>
      <c r="BS408">
        <f t="shared" si="41"/>
        <v>-4.2099195396037214E-10</v>
      </c>
    </row>
    <row r="409" spans="13:71" ht="12.75">
      <c r="M409" s="5">
        <v>1.6E-09</v>
      </c>
      <c r="N409" s="5">
        <v>6.23798383332</v>
      </c>
      <c r="O409" s="5">
        <v>202.2533951741</v>
      </c>
      <c r="P409">
        <f t="shared" si="40"/>
        <v>-1.2204543782189446E-09</v>
      </c>
      <c r="BP409" s="5">
        <v>6.8E-10</v>
      </c>
      <c r="BQ409" s="5">
        <v>0.50006599129</v>
      </c>
      <c r="BR409" s="5">
        <v>4274.5183108324</v>
      </c>
      <c r="BS409">
        <f t="shared" si="41"/>
        <v>-6.216391514442871E-10</v>
      </c>
    </row>
    <row r="410" spans="13:71" ht="12.75">
      <c r="M410" s="5">
        <v>2.15E-09</v>
      </c>
      <c r="N410" s="5">
        <v>0.20889073407</v>
      </c>
      <c r="O410" s="5">
        <v>5621.8429232104</v>
      </c>
      <c r="P410">
        <f t="shared" si="40"/>
        <v>2.1323460524262667E-09</v>
      </c>
      <c r="BP410" s="5">
        <v>7.5E-10</v>
      </c>
      <c r="BQ410" s="5">
        <v>2.07323762803</v>
      </c>
      <c r="BR410" s="5">
        <v>15664.0355227085</v>
      </c>
      <c r="BS410">
        <f t="shared" si="41"/>
        <v>7.028967778156005E-10</v>
      </c>
    </row>
    <row r="411" spans="13:71" ht="12.75">
      <c r="M411" s="5">
        <v>1.81E-09</v>
      </c>
      <c r="N411" s="5">
        <v>4.12439203622</v>
      </c>
      <c r="O411" s="5">
        <v>13341.6743113068</v>
      </c>
      <c r="P411">
        <f t="shared" si="40"/>
        <v>-2.1566500897531543E-10</v>
      </c>
      <c r="BP411" s="5">
        <v>7.4E-10</v>
      </c>
      <c r="BQ411" s="5">
        <v>1.01884134928</v>
      </c>
      <c r="BR411" s="5">
        <v>6393.2821712108</v>
      </c>
      <c r="BS411">
        <f t="shared" si="41"/>
        <v>-4.082361683239577E-10</v>
      </c>
    </row>
    <row r="412" spans="13:71" ht="12.75">
      <c r="M412" s="5">
        <v>1.53E-09</v>
      </c>
      <c r="N412" s="5">
        <v>1.24460848836</v>
      </c>
      <c r="O412" s="5">
        <v>29826.3063546732</v>
      </c>
      <c r="P412">
        <f t="shared" si="40"/>
        <v>-1.5268200227662295E-09</v>
      </c>
      <c r="BP412" s="5">
        <v>7.7E-10</v>
      </c>
      <c r="BQ412" s="5">
        <v>0.4666517878</v>
      </c>
      <c r="BR412" s="5">
        <v>16207.886271502</v>
      </c>
      <c r="BS412">
        <f t="shared" si="41"/>
        <v>2.3401437700634276E-12</v>
      </c>
    </row>
    <row r="413" spans="13:71" ht="12.75">
      <c r="M413" s="5">
        <v>1.5E-09</v>
      </c>
      <c r="N413" s="5">
        <v>3.12999753018</v>
      </c>
      <c r="O413" s="5">
        <v>799.8211251654</v>
      </c>
      <c r="P413">
        <f t="shared" si="40"/>
        <v>1.3901031701378714E-09</v>
      </c>
      <c r="BP413" s="5">
        <v>8.1E-10</v>
      </c>
      <c r="BQ413" s="5">
        <v>4.10452219483</v>
      </c>
      <c r="BR413" s="5">
        <v>161710.618786232</v>
      </c>
      <c r="BS413">
        <f t="shared" si="41"/>
        <v>-2.709870428877394E-10</v>
      </c>
    </row>
    <row r="414" spans="13:71" ht="12.75">
      <c r="M414" s="5">
        <v>1.75E-09</v>
      </c>
      <c r="N414" s="5">
        <v>4.55671604437</v>
      </c>
      <c r="O414" s="5">
        <v>239424.390254352</v>
      </c>
      <c r="P414">
        <f t="shared" si="40"/>
        <v>-1.0359595966409108E-09</v>
      </c>
      <c r="BP414" s="5">
        <v>6.7E-10</v>
      </c>
      <c r="BQ414" s="5">
        <v>3.83840630887</v>
      </c>
      <c r="BR414" s="5">
        <v>6262.7205305926</v>
      </c>
      <c r="BS414">
        <f t="shared" si="41"/>
        <v>3.95779290914429E-10</v>
      </c>
    </row>
    <row r="415" spans="13:71" ht="12.75">
      <c r="M415" s="5">
        <v>1.92E-09</v>
      </c>
      <c r="N415" s="5">
        <v>1.33928820063</v>
      </c>
      <c r="O415" s="5">
        <v>394.6258850592</v>
      </c>
      <c r="P415">
        <f t="shared" si="40"/>
        <v>1.9107836230368305E-09</v>
      </c>
      <c r="BP415" s="5">
        <v>7.1E-10</v>
      </c>
      <c r="BQ415" s="5">
        <v>3.91415523291</v>
      </c>
      <c r="BR415" s="5">
        <v>7875.6718636242</v>
      </c>
      <c r="BS415">
        <f t="shared" si="41"/>
        <v>7.068752184173771E-10</v>
      </c>
    </row>
    <row r="416" spans="13:71" ht="12.75">
      <c r="M416" s="5">
        <v>1.49E-09</v>
      </c>
      <c r="N416" s="5">
        <v>2.65697593276</v>
      </c>
      <c r="O416" s="5">
        <v>21.335640467</v>
      </c>
      <c r="P416">
        <f t="shared" si="40"/>
        <v>-1.4532296065012968E-09</v>
      </c>
      <c r="BP416" s="5">
        <v>8.1E-10</v>
      </c>
      <c r="BQ416" s="5">
        <v>0.91938383237</v>
      </c>
      <c r="BR416" s="5">
        <v>74.7815985673</v>
      </c>
      <c r="BS416">
        <f t="shared" si="41"/>
        <v>-2.1361653864000278E-10</v>
      </c>
    </row>
    <row r="417" spans="13:71" ht="12.75">
      <c r="M417" s="5">
        <v>1.46E-09</v>
      </c>
      <c r="N417" s="5">
        <v>5.58021191726</v>
      </c>
      <c r="O417" s="5">
        <v>412.3710968744</v>
      </c>
      <c r="P417">
        <f t="shared" si="40"/>
        <v>-5.027981052631944E-10</v>
      </c>
      <c r="BP417" s="5">
        <v>8.3E-10</v>
      </c>
      <c r="BQ417" s="5">
        <v>4.69916218791</v>
      </c>
      <c r="BR417" s="5">
        <v>23006.4259925863</v>
      </c>
      <c r="BS417">
        <f t="shared" si="41"/>
        <v>-2.0149048719876674E-10</v>
      </c>
    </row>
    <row r="418" spans="13:71" ht="12.75">
      <c r="M418" s="5">
        <v>1.56E-09</v>
      </c>
      <c r="N418" s="5">
        <v>3.75650175503</v>
      </c>
      <c r="O418" s="5">
        <v>12323.4230960088</v>
      </c>
      <c r="P418">
        <f t="shared" si="40"/>
        <v>-6.428592623890713E-10</v>
      </c>
      <c r="BP418" s="5">
        <v>6.3E-10</v>
      </c>
      <c r="BQ418" s="5">
        <v>2.32556465878</v>
      </c>
      <c r="BR418" s="5">
        <v>6279.1945146334</v>
      </c>
      <c r="BS418">
        <f t="shared" si="41"/>
        <v>-3.9545408838973736E-10</v>
      </c>
    </row>
    <row r="419" spans="13:71" ht="12.75">
      <c r="M419" s="5">
        <v>1.43E-09</v>
      </c>
      <c r="N419" s="5">
        <v>3.75708566606</v>
      </c>
      <c r="O419" s="5">
        <v>58864.5439181463</v>
      </c>
      <c r="P419">
        <f t="shared" si="40"/>
        <v>-9.039968453414548E-10</v>
      </c>
      <c r="BP419" s="5">
        <v>6.5E-10</v>
      </c>
      <c r="BQ419" s="5">
        <v>5.41938745446</v>
      </c>
      <c r="BR419" s="5">
        <v>28628.3362260996</v>
      </c>
      <c r="BS419">
        <f t="shared" si="41"/>
        <v>2.50238588916554E-10</v>
      </c>
    </row>
    <row r="420" spans="13:71" ht="12.75">
      <c r="M420" s="5">
        <v>1.43E-09</v>
      </c>
      <c r="N420" s="5">
        <v>3.28248547724</v>
      </c>
      <c r="O420" s="5">
        <v>29.8214381488</v>
      </c>
      <c r="P420">
        <f t="shared" si="40"/>
        <v>-1.2500506087721774E-09</v>
      </c>
      <c r="BP420" s="5">
        <v>6.5E-10</v>
      </c>
      <c r="BQ420" s="5">
        <v>3.02336771694</v>
      </c>
      <c r="BR420" s="5">
        <v>5959.570433334</v>
      </c>
      <c r="BS420">
        <f t="shared" si="41"/>
        <v>4.4971956145615353E-10</v>
      </c>
    </row>
    <row r="421" spans="13:71" ht="12.75">
      <c r="M421" s="5">
        <v>1.44E-09</v>
      </c>
      <c r="N421" s="5">
        <v>1.07862546598</v>
      </c>
      <c r="O421" s="5">
        <v>1265.5674786264</v>
      </c>
      <c r="P421">
        <f t="shared" si="40"/>
        <v>-8.821840372026987E-10</v>
      </c>
      <c r="BP421" s="5">
        <v>6.4E-10</v>
      </c>
      <c r="BQ421" s="5">
        <v>3.3103319837</v>
      </c>
      <c r="BR421" s="5">
        <v>2636.725472637</v>
      </c>
      <c r="BS421">
        <f t="shared" si="41"/>
        <v>-2.7252054198082923E-10</v>
      </c>
    </row>
    <row r="422" spans="13:71" ht="12.75">
      <c r="M422" s="5">
        <v>1.48E-09</v>
      </c>
      <c r="N422" s="5">
        <v>0.23389236655</v>
      </c>
      <c r="O422" s="5">
        <v>10021.8372800994</v>
      </c>
      <c r="P422">
        <f t="shared" si="40"/>
        <v>-1.0556334197463444E-09</v>
      </c>
      <c r="BP422" s="5">
        <v>6.4E-10</v>
      </c>
      <c r="BQ422" s="5">
        <v>0.18375587519</v>
      </c>
      <c r="BR422" s="5">
        <v>1066.49547719</v>
      </c>
      <c r="BS422">
        <f t="shared" si="41"/>
        <v>4.838468467185399E-10</v>
      </c>
    </row>
    <row r="423" spans="13:71" ht="12.75">
      <c r="M423" s="5">
        <v>1.93E-09</v>
      </c>
      <c r="N423" s="5">
        <v>5.92751083086</v>
      </c>
      <c r="O423" s="5">
        <v>40879.4405046438</v>
      </c>
      <c r="P423">
        <f t="shared" si="40"/>
        <v>1.002860075674523E-09</v>
      </c>
      <c r="BP423" s="5">
        <v>8E-10</v>
      </c>
      <c r="BQ423" s="5">
        <v>5.81239171612</v>
      </c>
      <c r="BR423" s="5">
        <v>12341.8069042809</v>
      </c>
      <c r="BS423">
        <f t="shared" si="41"/>
        <v>7.674825982890141E-10</v>
      </c>
    </row>
    <row r="424" spans="13:71" ht="12.75">
      <c r="M424" s="5">
        <v>1.4E-09</v>
      </c>
      <c r="N424" s="5">
        <v>4.97612440269</v>
      </c>
      <c r="O424" s="5">
        <v>158.9435177832</v>
      </c>
      <c r="P424">
        <f t="shared" si="40"/>
        <v>1.118980938410864E-09</v>
      </c>
      <c r="BP424" s="5">
        <v>6.6E-10</v>
      </c>
      <c r="BQ424" s="5">
        <v>2.15105504851</v>
      </c>
      <c r="BR424" s="5">
        <v>38.0276726358</v>
      </c>
      <c r="BS424">
        <f t="shared" si="41"/>
        <v>-5.715861720865766E-10</v>
      </c>
    </row>
    <row r="425" spans="13:71" ht="12.75">
      <c r="M425" s="5">
        <v>1.48E-09</v>
      </c>
      <c r="N425" s="5">
        <v>2.61640453469</v>
      </c>
      <c r="O425" s="5">
        <v>17157.0618804718</v>
      </c>
      <c r="P425">
        <f t="shared" si="40"/>
        <v>1.4007122545024629E-09</v>
      </c>
      <c r="BP425" s="5">
        <v>6.2E-10</v>
      </c>
      <c r="BQ425" s="5">
        <v>2.43313614978</v>
      </c>
      <c r="BR425" s="5">
        <v>10138.1095169486</v>
      </c>
      <c r="BS425">
        <f t="shared" si="41"/>
        <v>1.883749525227271E-10</v>
      </c>
    </row>
    <row r="426" spans="13:71" ht="12.75">
      <c r="M426" s="5">
        <v>1.41E-09</v>
      </c>
      <c r="N426" s="5">
        <v>3.66871308723</v>
      </c>
      <c r="O426" s="5">
        <v>26084.0218062162</v>
      </c>
      <c r="P426">
        <f t="shared" si="40"/>
        <v>-1.305249033837382E-09</v>
      </c>
      <c r="BP426" s="5">
        <v>6E-10</v>
      </c>
      <c r="BQ426" s="5">
        <v>3.1615390647</v>
      </c>
      <c r="BR426" s="5">
        <v>5490.300961524</v>
      </c>
      <c r="BS426">
        <f t="shared" si="41"/>
        <v>6.300531379274939E-11</v>
      </c>
    </row>
    <row r="427" spans="13:71" ht="12.75">
      <c r="M427" s="5">
        <v>1.47E-09</v>
      </c>
      <c r="N427" s="5">
        <v>5.09968173403</v>
      </c>
      <c r="O427" s="5">
        <v>661.232926781</v>
      </c>
      <c r="P427">
        <f t="shared" si="40"/>
        <v>1.1675383997594807E-09</v>
      </c>
      <c r="BP427" s="5">
        <v>6.9E-10</v>
      </c>
      <c r="BQ427" s="5">
        <v>0.30764736334</v>
      </c>
      <c r="BR427" s="5">
        <v>7018.9523635232</v>
      </c>
      <c r="BS427">
        <f t="shared" si="41"/>
        <v>7.182248175567692E-11</v>
      </c>
    </row>
    <row r="428" spans="13:71" ht="12.75">
      <c r="M428" s="5">
        <v>1.46E-09</v>
      </c>
      <c r="N428" s="5">
        <v>4.96885605695</v>
      </c>
      <c r="O428" s="5">
        <v>57375.8019008462</v>
      </c>
      <c r="P428">
        <f t="shared" si="40"/>
        <v>1.298315228820185E-09</v>
      </c>
      <c r="BP428" s="5">
        <v>6.8E-10</v>
      </c>
      <c r="BQ428" s="5">
        <v>2.24442548639</v>
      </c>
      <c r="BR428" s="5">
        <v>24383.0791084414</v>
      </c>
      <c r="BS428">
        <f t="shared" si="41"/>
        <v>6.784406671597032E-10</v>
      </c>
    </row>
    <row r="429" spans="13:71" ht="12.75">
      <c r="M429" s="5">
        <v>1.42E-09</v>
      </c>
      <c r="N429" s="5">
        <v>0.78678347839</v>
      </c>
      <c r="O429" s="5">
        <v>12779.4507954208</v>
      </c>
      <c r="P429">
        <f t="shared" si="40"/>
        <v>1.1435303144060146E-09</v>
      </c>
      <c r="BP429" s="5">
        <v>7.8E-10</v>
      </c>
      <c r="BQ429" s="5">
        <v>1.39649386463</v>
      </c>
      <c r="BR429" s="5">
        <v>9411.4646150872</v>
      </c>
      <c r="BS429">
        <f t="shared" si="41"/>
        <v>-5.826588237985171E-10</v>
      </c>
    </row>
    <row r="430" spans="13:71" ht="12.75">
      <c r="M430" s="5">
        <v>1.34E-09</v>
      </c>
      <c r="N430" s="5">
        <v>4.79432636012</v>
      </c>
      <c r="O430" s="5">
        <v>111.1866422876</v>
      </c>
      <c r="P430">
        <f t="shared" si="40"/>
        <v>1.3297900961853574E-09</v>
      </c>
      <c r="BP430" s="5">
        <v>6.3E-10</v>
      </c>
      <c r="BQ430" s="5">
        <v>0.72976362625</v>
      </c>
      <c r="BR430" s="5">
        <v>6286.9571853494</v>
      </c>
      <c r="BS430">
        <f t="shared" si="41"/>
        <v>-5.169971423715747E-10</v>
      </c>
    </row>
    <row r="431" spans="13:71" ht="12.75">
      <c r="M431" s="5">
        <v>1.4E-09</v>
      </c>
      <c r="N431" s="5">
        <v>1.27748013377</v>
      </c>
      <c r="O431" s="5">
        <v>107.6635239386</v>
      </c>
      <c r="P431">
        <f t="shared" si="40"/>
        <v>-1.1993214271225097E-09</v>
      </c>
      <c r="BP431" s="5">
        <v>7.3E-10</v>
      </c>
      <c r="BQ431" s="5">
        <v>4.95125917731</v>
      </c>
      <c r="BR431" s="5">
        <v>6453.7487206106</v>
      </c>
      <c r="BS431">
        <f t="shared" si="41"/>
        <v>-5.933551191294922E-10</v>
      </c>
    </row>
    <row r="432" spans="13:71" ht="12.75">
      <c r="M432" s="5">
        <v>1.69E-09</v>
      </c>
      <c r="N432" s="5">
        <v>2.74893543762</v>
      </c>
      <c r="O432" s="5">
        <v>26735.9452622132</v>
      </c>
      <c r="P432">
        <f t="shared" si="40"/>
        <v>-6.275799454181824E-10</v>
      </c>
      <c r="BP432" s="5">
        <v>7.8E-10</v>
      </c>
      <c r="BQ432" s="5">
        <v>0.32736023459</v>
      </c>
      <c r="BR432" s="5">
        <v>6528.9074962208</v>
      </c>
      <c r="BS432">
        <f t="shared" si="41"/>
        <v>2.962494054556938E-10</v>
      </c>
    </row>
    <row r="433" spans="13:71" ht="12.75">
      <c r="M433" s="5">
        <v>1.65E-09</v>
      </c>
      <c r="N433" s="5">
        <v>3.95288000638</v>
      </c>
      <c r="O433" s="5">
        <v>6357.8574485587</v>
      </c>
      <c r="P433">
        <f t="shared" si="40"/>
        <v>1.5534026214883874E-09</v>
      </c>
      <c r="BP433" s="5">
        <v>5.9E-10</v>
      </c>
      <c r="BQ433" s="5">
        <v>4.95362151577</v>
      </c>
      <c r="BR433" s="5">
        <v>35707.7100829074</v>
      </c>
      <c r="BS433">
        <f t="shared" si="41"/>
        <v>-5.265557057622687E-10</v>
      </c>
    </row>
    <row r="434" spans="13:71" ht="12.75">
      <c r="M434" s="5">
        <v>1.83E-09</v>
      </c>
      <c r="N434" s="5">
        <v>5.43418358741</v>
      </c>
      <c r="O434" s="5">
        <v>369.6998159404</v>
      </c>
      <c r="P434">
        <f t="shared" si="40"/>
        <v>-1.5608865391046893E-09</v>
      </c>
      <c r="BP434" s="5">
        <v>7E-10</v>
      </c>
      <c r="BQ434" s="5">
        <v>2.37962727525</v>
      </c>
      <c r="BR434" s="5">
        <v>15508.6151232744</v>
      </c>
      <c r="BS434">
        <f t="shared" si="41"/>
        <v>-2.6459031618492493E-10</v>
      </c>
    </row>
    <row r="435" spans="13:71" ht="12.75">
      <c r="M435" s="5">
        <v>1.34E-09</v>
      </c>
      <c r="N435" s="5">
        <v>3.09132862833</v>
      </c>
      <c r="O435" s="5">
        <v>17.812522118</v>
      </c>
      <c r="P435">
        <f t="shared" si="40"/>
        <v>-1.321029371921206E-09</v>
      </c>
      <c r="BP435" s="5">
        <v>7.3E-10</v>
      </c>
      <c r="BQ435" s="5">
        <v>1.35229143111</v>
      </c>
      <c r="BR435" s="5">
        <v>5327.4761083828</v>
      </c>
      <c r="BS435">
        <f t="shared" si="41"/>
        <v>-5.0937935878112E-10</v>
      </c>
    </row>
    <row r="436" spans="13:71" ht="12.75">
      <c r="M436" s="5">
        <v>1.32E-09</v>
      </c>
      <c r="N436" s="5">
        <v>3.05633896779</v>
      </c>
      <c r="O436" s="5">
        <v>22490.9621214934</v>
      </c>
      <c r="P436">
        <f t="shared" si="40"/>
        <v>-1.2336181185776588E-09</v>
      </c>
      <c r="BP436" s="5">
        <v>7.2E-10</v>
      </c>
      <c r="BQ436" s="5">
        <v>5.91833527334</v>
      </c>
      <c r="BR436" s="5">
        <v>10881.0995774812</v>
      </c>
      <c r="BS436">
        <f t="shared" si="41"/>
        <v>1.8941412181828913E-10</v>
      </c>
    </row>
    <row r="437" spans="13:71" ht="12.75">
      <c r="M437" s="5">
        <v>1.34E-09</v>
      </c>
      <c r="N437" s="5">
        <v>4.09472795832</v>
      </c>
      <c r="O437" s="5">
        <v>6599.467719648</v>
      </c>
      <c r="P437">
        <f t="shared" si="40"/>
        <v>-1.2757082610901037E-09</v>
      </c>
      <c r="BP437" s="5">
        <v>5.9E-10</v>
      </c>
      <c r="BQ437" s="5">
        <v>5.36231868425</v>
      </c>
      <c r="BR437" s="5">
        <v>10239.5838660108</v>
      </c>
      <c r="BS437">
        <f t="shared" si="41"/>
        <v>3.9122819805073937E-10</v>
      </c>
    </row>
    <row r="438" spans="13:71" ht="12.75">
      <c r="M438" s="5">
        <v>1.81E-09</v>
      </c>
      <c r="N438" s="5">
        <v>4.22950689891</v>
      </c>
      <c r="O438" s="5">
        <v>966.9708774356</v>
      </c>
      <c r="P438">
        <f t="shared" si="40"/>
        <v>-1.670185727449351E-09</v>
      </c>
      <c r="BP438" s="5">
        <v>5.9E-10</v>
      </c>
      <c r="BQ438" s="5">
        <v>1.63156134967</v>
      </c>
      <c r="BR438" s="5">
        <v>61306.0115970658</v>
      </c>
      <c r="BS438">
        <f t="shared" si="41"/>
        <v>5.268206861256158E-10</v>
      </c>
    </row>
    <row r="439" spans="13:71" ht="12.75">
      <c r="M439" s="5">
        <v>1.52E-09</v>
      </c>
      <c r="N439" s="5">
        <v>5.28885894415</v>
      </c>
      <c r="O439" s="5">
        <v>12669.2444742014</v>
      </c>
      <c r="P439">
        <f t="shared" si="40"/>
        <v>-1.217553954260026E-09</v>
      </c>
      <c r="BP439" s="5">
        <v>5.4E-10</v>
      </c>
      <c r="BQ439" s="5">
        <v>4.29491690425</v>
      </c>
      <c r="BR439" s="5">
        <v>21947.1113727</v>
      </c>
      <c r="BS439">
        <f t="shared" si="41"/>
        <v>-4.790579177878113E-10</v>
      </c>
    </row>
    <row r="440" spans="13:71" ht="12.75">
      <c r="M440" s="5">
        <v>1.5E-09</v>
      </c>
      <c r="N440" s="5">
        <v>5.86819430908</v>
      </c>
      <c r="O440" s="5">
        <v>97238.6275444874</v>
      </c>
      <c r="P440">
        <f t="shared" si="40"/>
        <v>1.4804118609479503E-09</v>
      </c>
      <c r="BP440" s="5">
        <v>5.7E-10</v>
      </c>
      <c r="BQ440" s="5">
        <v>5.89190132575</v>
      </c>
      <c r="BR440" s="5">
        <v>34513.2630726828</v>
      </c>
      <c r="BS440">
        <f t="shared" si="41"/>
        <v>-4.3787981639052023E-10</v>
      </c>
    </row>
    <row r="441" spans="13:71" ht="12.75">
      <c r="M441" s="5">
        <v>1.42E-09</v>
      </c>
      <c r="N441" s="5">
        <v>5.87266532526</v>
      </c>
      <c r="O441" s="5">
        <v>22476.7350274917</v>
      </c>
      <c r="P441">
        <f t="shared" si="40"/>
        <v>9.224207550519503E-10</v>
      </c>
      <c r="BP441" s="5">
        <v>7.4E-10</v>
      </c>
      <c r="BQ441" s="5">
        <v>1.38235845304</v>
      </c>
      <c r="BR441" s="5">
        <v>9967.4538999816</v>
      </c>
      <c r="BS441">
        <f t="shared" si="41"/>
        <v>-2.2820200622424394E-10</v>
      </c>
    </row>
    <row r="442" spans="13:71" ht="12.75">
      <c r="M442" s="5">
        <v>1.45E-09</v>
      </c>
      <c r="N442" s="5">
        <v>5.07330784304</v>
      </c>
      <c r="O442" s="5">
        <v>87.30820453981</v>
      </c>
      <c r="P442">
        <f t="shared" si="40"/>
        <v>1.4362625524661674E-09</v>
      </c>
      <c r="BP442" s="5">
        <v>5.3E-10</v>
      </c>
      <c r="BQ442" s="5">
        <v>3.86543309344</v>
      </c>
      <c r="BR442" s="5">
        <v>32370.9789915656</v>
      </c>
      <c r="BS442">
        <f t="shared" si="41"/>
        <v>3.8655188206744455E-10</v>
      </c>
    </row>
    <row r="443" spans="13:71" ht="12.75">
      <c r="M443" s="5">
        <v>1.33E-09</v>
      </c>
      <c r="N443" s="5">
        <v>5.65471067133</v>
      </c>
      <c r="O443" s="5">
        <v>31.9723058168</v>
      </c>
      <c r="P443">
        <f t="shared" si="40"/>
        <v>1.2931756475605173E-09</v>
      </c>
      <c r="BP443" s="5">
        <v>5.5E-10</v>
      </c>
      <c r="BQ443" s="5">
        <v>4.51794544854</v>
      </c>
      <c r="BR443" s="5">
        <v>34911.412076091</v>
      </c>
      <c r="BS443">
        <f t="shared" si="41"/>
        <v>5.218775507880552E-10</v>
      </c>
    </row>
    <row r="444" spans="13:71" ht="12.75">
      <c r="M444" s="5">
        <v>1.24E-09</v>
      </c>
      <c r="N444" s="5">
        <v>2.83326217072</v>
      </c>
      <c r="O444" s="5">
        <v>12566.2190102856</v>
      </c>
      <c r="P444">
        <f t="shared" si="40"/>
        <v>1.2375655513586763E-09</v>
      </c>
      <c r="BP444" s="5">
        <v>6.3E-10</v>
      </c>
      <c r="BQ444" s="5">
        <v>5.41479412056</v>
      </c>
      <c r="BR444" s="5">
        <v>11502.8376165305</v>
      </c>
      <c r="BS444">
        <f t="shared" si="41"/>
        <v>-3.4620528772932986E-10</v>
      </c>
    </row>
    <row r="445" spans="13:71" ht="12.75">
      <c r="M445" s="5">
        <v>1.35E-09</v>
      </c>
      <c r="N445" s="5">
        <v>3.12861731644</v>
      </c>
      <c r="O445" s="5">
        <v>32217.2001810808</v>
      </c>
      <c r="P445">
        <f t="shared" si="40"/>
        <v>-1.3122594620502561E-09</v>
      </c>
      <c r="BP445" s="5">
        <v>6.3E-10</v>
      </c>
      <c r="BQ445" s="5">
        <v>2.34416220742</v>
      </c>
      <c r="BR445" s="5">
        <v>11510.7019230567</v>
      </c>
      <c r="BS445">
        <f t="shared" si="41"/>
        <v>4.2912627053014546E-10</v>
      </c>
    </row>
    <row r="446" spans="13:71" ht="12.75">
      <c r="M446" s="5">
        <v>1.37E-09</v>
      </c>
      <c r="N446" s="5">
        <v>0.86487461904</v>
      </c>
      <c r="O446" s="5">
        <v>9924.8104215106</v>
      </c>
      <c r="P446">
        <f t="shared" si="40"/>
        <v>-1.33811363134241E-09</v>
      </c>
      <c r="BP446" s="5">
        <v>6.8E-10</v>
      </c>
      <c r="BQ446" s="5">
        <v>0.77493931112</v>
      </c>
      <c r="BR446" s="5">
        <v>29864.334027309</v>
      </c>
      <c r="BS446">
        <f t="shared" si="41"/>
        <v>-6.78465807407921E-10</v>
      </c>
    </row>
    <row r="447" spans="13:71" ht="12.75">
      <c r="M447" s="5">
        <v>1.72E-09</v>
      </c>
      <c r="N447" s="5">
        <v>1.98369595114</v>
      </c>
      <c r="O447" s="5">
        <v>174242.465964049</v>
      </c>
      <c r="P447">
        <f t="shared" si="40"/>
        <v>1.0113331068716723E-09</v>
      </c>
      <c r="BP447" s="5">
        <v>6E-10</v>
      </c>
      <c r="BQ447" s="5">
        <v>5.57024703495</v>
      </c>
      <c r="BR447" s="5">
        <v>5756.9080032458</v>
      </c>
      <c r="BS447">
        <f t="shared" si="41"/>
        <v>3.8920091801865234E-10</v>
      </c>
    </row>
    <row r="448" spans="13:71" ht="12.75">
      <c r="M448" s="5">
        <v>1.7E-09</v>
      </c>
      <c r="N448" s="5">
        <v>4.41115280254</v>
      </c>
      <c r="O448" s="5">
        <v>327574.514276781</v>
      </c>
      <c r="P448">
        <f t="shared" si="40"/>
        <v>1.4000237694791539E-09</v>
      </c>
      <c r="BP448" s="5">
        <v>7.2E-10</v>
      </c>
      <c r="BQ448" s="5">
        <v>2.80863088166</v>
      </c>
      <c r="BR448" s="5">
        <v>10866.8724834796</v>
      </c>
      <c r="BS448">
        <f t="shared" si="41"/>
        <v>-2.8635413381311903E-10</v>
      </c>
    </row>
    <row r="449" spans="13:71" ht="12.75">
      <c r="M449" s="5">
        <v>1.51E-09</v>
      </c>
      <c r="N449" s="5">
        <v>0.46542099527</v>
      </c>
      <c r="O449" s="5">
        <v>39609.6545831656</v>
      </c>
      <c r="P449">
        <f t="shared" si="40"/>
        <v>-1.504171702067826E-09</v>
      </c>
      <c r="BP449" s="5">
        <v>6.1E-10</v>
      </c>
      <c r="BQ449" s="5">
        <v>2.69736991384</v>
      </c>
      <c r="BR449" s="5">
        <v>82576.9812209952</v>
      </c>
      <c r="BS449">
        <f t="shared" si="41"/>
        <v>2.4335207804645045E-10</v>
      </c>
    </row>
    <row r="450" spans="13:71" ht="12.75">
      <c r="M450" s="5">
        <v>1.48E-09</v>
      </c>
      <c r="N450" s="5">
        <v>2.13439571118</v>
      </c>
      <c r="O450" s="5">
        <v>491.6632924588</v>
      </c>
      <c r="P450">
        <f aca="true" t="shared" si="42" ref="P450:P513">M450*COS(N450+O450*$E$16)</f>
        <v>-4.6257612227395864E-10</v>
      </c>
      <c r="BP450" s="5">
        <v>6.3E-10</v>
      </c>
      <c r="BQ450" s="5">
        <v>5.32068807257</v>
      </c>
      <c r="BR450" s="5">
        <v>3116.6594122598</v>
      </c>
      <c r="BS450">
        <f aca="true" t="shared" si="43" ref="BS450:BS513">BP450*COS(BQ450+BR450*$E$16)</f>
        <v>5.826795375257357E-10</v>
      </c>
    </row>
    <row r="451" spans="13:71" ht="12.75">
      <c r="M451" s="5">
        <v>1.53E-09</v>
      </c>
      <c r="N451" s="5">
        <v>3.78801830344</v>
      </c>
      <c r="O451" s="5">
        <v>17363.2474289089</v>
      </c>
      <c r="P451">
        <f t="shared" si="42"/>
        <v>-1.4886205388482384E-09</v>
      </c>
      <c r="BP451" s="5">
        <v>5.2E-10</v>
      </c>
      <c r="BQ451" s="5">
        <v>1.02278758099</v>
      </c>
      <c r="BR451" s="5">
        <v>6272.4391846416</v>
      </c>
      <c r="BS451">
        <f t="shared" si="43"/>
        <v>-4.579450203352636E-10</v>
      </c>
    </row>
    <row r="452" spans="13:71" ht="12.75">
      <c r="M452" s="5">
        <v>1.65E-09</v>
      </c>
      <c r="N452" s="5">
        <v>5.31654110459</v>
      </c>
      <c r="O452" s="5">
        <v>16943.7627850338</v>
      </c>
      <c r="P452">
        <f t="shared" si="42"/>
        <v>1.599552527378569E-09</v>
      </c>
      <c r="BP452" s="5">
        <v>6.9E-10</v>
      </c>
      <c r="BQ452" s="5">
        <v>5.00698550308</v>
      </c>
      <c r="BR452" s="5">
        <v>25287.7237993998</v>
      </c>
      <c r="BS452">
        <f t="shared" si="43"/>
        <v>1.3581852261505817E-10</v>
      </c>
    </row>
    <row r="453" spans="13:71" ht="12.75">
      <c r="M453" s="5">
        <v>1.65E-09</v>
      </c>
      <c r="N453" s="5">
        <v>4.06747587817</v>
      </c>
      <c r="O453" s="5">
        <v>58953.145443294</v>
      </c>
      <c r="P453">
        <f t="shared" si="42"/>
        <v>1.0805757273731505E-09</v>
      </c>
      <c r="BP453" s="5">
        <v>6.6E-10</v>
      </c>
      <c r="BQ453" s="5">
        <v>6.12047940728</v>
      </c>
      <c r="BR453" s="5">
        <v>12074.488407524</v>
      </c>
      <c r="BS453">
        <f t="shared" si="43"/>
        <v>-5.933757526228393E-10</v>
      </c>
    </row>
    <row r="454" spans="13:71" ht="12.75">
      <c r="M454" s="5">
        <v>1.18E-09</v>
      </c>
      <c r="N454" s="5">
        <v>0.63846333239</v>
      </c>
      <c r="O454" s="5">
        <v>6.0659156298</v>
      </c>
      <c r="P454">
        <f t="shared" si="42"/>
        <v>8.925934844742682E-10</v>
      </c>
      <c r="BP454" s="5">
        <v>5.1E-10</v>
      </c>
      <c r="BQ454" s="5">
        <v>2.59519527563</v>
      </c>
      <c r="BR454" s="5">
        <v>11396.5634485742</v>
      </c>
      <c r="BS454">
        <f t="shared" si="43"/>
        <v>-1.991734075391386E-10</v>
      </c>
    </row>
    <row r="455" spans="13:71" ht="12.75">
      <c r="M455" s="5">
        <v>1.59E-09</v>
      </c>
      <c r="N455" s="5">
        <v>0.86086959274</v>
      </c>
      <c r="O455" s="5">
        <v>221995.028801495</v>
      </c>
      <c r="P455">
        <f t="shared" si="42"/>
        <v>1.5898089676562796E-09</v>
      </c>
      <c r="BP455" s="5">
        <v>5.6E-10</v>
      </c>
      <c r="BQ455" s="5">
        <v>2.57995973521</v>
      </c>
      <c r="BR455" s="5">
        <v>17892.9383940035</v>
      </c>
      <c r="BS455">
        <f t="shared" si="43"/>
        <v>-4.0832635719665284E-10</v>
      </c>
    </row>
    <row r="456" spans="13:71" ht="12.75">
      <c r="M456" s="5">
        <v>1.19E-09</v>
      </c>
      <c r="N456" s="5">
        <v>5.96432932413</v>
      </c>
      <c r="O456" s="5">
        <v>1385.8952763362</v>
      </c>
      <c r="P456">
        <f t="shared" si="42"/>
        <v>-6.514283501031105E-10</v>
      </c>
      <c r="BP456" s="5">
        <v>5.9E-10</v>
      </c>
      <c r="BQ456" s="5">
        <v>0.4416723762</v>
      </c>
      <c r="BR456" s="5">
        <v>250570.675857219</v>
      </c>
      <c r="BS456">
        <f t="shared" si="43"/>
        <v>1.0404947022477134E-10</v>
      </c>
    </row>
    <row r="457" spans="13:71" ht="12.75">
      <c r="M457" s="5">
        <v>1.14E-09</v>
      </c>
      <c r="N457" s="5">
        <v>5.16516114595</v>
      </c>
      <c r="O457" s="5">
        <v>25685.872802808</v>
      </c>
      <c r="P457">
        <f t="shared" si="42"/>
        <v>1.1293505261902062E-09</v>
      </c>
      <c r="BP457" s="5">
        <v>5.9E-10</v>
      </c>
      <c r="BQ457" s="5">
        <v>3.84070143543</v>
      </c>
      <c r="BR457" s="5">
        <v>5483.254724826</v>
      </c>
      <c r="BS457">
        <f t="shared" si="43"/>
        <v>-2.763326099963822E-10</v>
      </c>
    </row>
    <row r="458" spans="13:71" ht="12.75">
      <c r="M458" s="5">
        <v>1.12E-09</v>
      </c>
      <c r="N458" s="5">
        <v>3.39403722178</v>
      </c>
      <c r="O458" s="5">
        <v>21393.5419698576</v>
      </c>
      <c r="P458">
        <f t="shared" si="42"/>
        <v>-6.64474141847795E-10</v>
      </c>
      <c r="BP458" s="5">
        <v>4.9E-10</v>
      </c>
      <c r="BQ458" s="5">
        <v>0.54704693048</v>
      </c>
      <c r="BR458" s="5">
        <v>22594.0548957119</v>
      </c>
      <c r="BS458">
        <f t="shared" si="43"/>
        <v>1.779705391754676E-11</v>
      </c>
    </row>
    <row r="459" spans="13:71" ht="12.75">
      <c r="M459" s="5">
        <v>1.12E-09</v>
      </c>
      <c r="N459" s="5">
        <v>4.92889233335</v>
      </c>
      <c r="O459" s="5">
        <v>56.8032621698</v>
      </c>
      <c r="P459">
        <f t="shared" si="42"/>
        <v>8.87006354451014E-10</v>
      </c>
      <c r="BP459" s="5">
        <v>6.5E-10</v>
      </c>
      <c r="BQ459" s="5">
        <v>2.38423614501</v>
      </c>
      <c r="BR459" s="5">
        <v>52670.0695933026</v>
      </c>
      <c r="BS459">
        <f t="shared" si="43"/>
        <v>-2.62972135624081E-10</v>
      </c>
    </row>
    <row r="460" spans="13:71" ht="12.75">
      <c r="M460" s="5">
        <v>1.19E-09</v>
      </c>
      <c r="N460" s="5">
        <v>2.40637635942</v>
      </c>
      <c r="O460" s="5">
        <v>18635.9284545362</v>
      </c>
      <c r="P460">
        <f t="shared" si="42"/>
        <v>3.9953858614775394E-10</v>
      </c>
      <c r="BP460" s="5">
        <v>6.9E-10</v>
      </c>
      <c r="BQ460" s="5">
        <v>5.34363738671</v>
      </c>
      <c r="BR460" s="5">
        <v>66813.5648357332</v>
      </c>
      <c r="BS460">
        <f t="shared" si="43"/>
        <v>-6.223267102781834E-10</v>
      </c>
    </row>
    <row r="461" spans="13:71" ht="12.75">
      <c r="M461" s="5">
        <v>1.15E-09</v>
      </c>
      <c r="N461" s="5">
        <v>0.23374479051</v>
      </c>
      <c r="O461" s="5">
        <v>418.9243989006</v>
      </c>
      <c r="P461">
        <f t="shared" si="42"/>
        <v>7.101697633942628E-10</v>
      </c>
      <c r="BP461" s="5">
        <v>5.7E-10</v>
      </c>
      <c r="BQ461" s="5">
        <v>5.42770501007</v>
      </c>
      <c r="BR461" s="5">
        <v>310145.152823923</v>
      </c>
      <c r="BS461">
        <f t="shared" si="43"/>
        <v>5.699371444316E-10</v>
      </c>
    </row>
    <row r="462" spans="13:71" ht="12.75">
      <c r="M462" s="5">
        <v>1.22E-09</v>
      </c>
      <c r="N462" s="5">
        <v>0.93575234049</v>
      </c>
      <c r="O462" s="5">
        <v>24492.4061136515</v>
      </c>
      <c r="P462">
        <f t="shared" si="42"/>
        <v>1.213713409733792E-09</v>
      </c>
      <c r="BP462" s="5">
        <v>5.3E-10</v>
      </c>
      <c r="BQ462" s="5">
        <v>1.17760296075</v>
      </c>
      <c r="BR462" s="5">
        <v>149.5631971346</v>
      </c>
      <c r="BS462">
        <f t="shared" si="43"/>
        <v>-5.257044780197797E-10</v>
      </c>
    </row>
    <row r="463" spans="13:71" ht="12.75">
      <c r="M463" s="5">
        <v>1.15E-09</v>
      </c>
      <c r="N463" s="5">
        <v>4.58880032176</v>
      </c>
      <c r="O463" s="5">
        <v>26709.6469424134</v>
      </c>
      <c r="P463">
        <f t="shared" si="42"/>
        <v>1.0432260997713786E-09</v>
      </c>
      <c r="BP463" s="5">
        <v>6.1E-10</v>
      </c>
      <c r="BQ463" s="5">
        <v>4.02090887211</v>
      </c>
      <c r="BR463" s="5">
        <v>34596.3646546524</v>
      </c>
      <c r="BS463">
        <f t="shared" si="43"/>
        <v>-1.555845702188467E-11</v>
      </c>
    </row>
    <row r="464" spans="13:71" ht="12.75">
      <c r="M464" s="5">
        <v>1.3E-09</v>
      </c>
      <c r="N464" s="5">
        <v>4.85539251</v>
      </c>
      <c r="O464" s="5">
        <v>22345.2603761082</v>
      </c>
      <c r="P464">
        <f t="shared" si="42"/>
        <v>-1.2194393407083801E-09</v>
      </c>
      <c r="BP464" s="5">
        <v>4.9E-10</v>
      </c>
      <c r="BQ464" s="5">
        <v>4.18361320516</v>
      </c>
      <c r="BR464" s="5">
        <v>18606.4989460002</v>
      </c>
      <c r="BS464">
        <f t="shared" si="43"/>
        <v>4.81416155141259E-10</v>
      </c>
    </row>
    <row r="465" spans="13:71" ht="12.75">
      <c r="M465" s="5">
        <v>1.4E-09</v>
      </c>
      <c r="N465" s="5">
        <v>1.09413073202</v>
      </c>
      <c r="O465" s="5">
        <v>44809.6502008634</v>
      </c>
      <c r="P465">
        <f t="shared" si="42"/>
        <v>-1.0626814076742999E-11</v>
      </c>
      <c r="BP465" s="5">
        <v>5.5E-10</v>
      </c>
      <c r="BQ465" s="5">
        <v>0.83886167974</v>
      </c>
      <c r="BR465" s="5">
        <v>20452.8694122218</v>
      </c>
      <c r="BS465">
        <f t="shared" si="43"/>
        <v>4.3247509632418687E-10</v>
      </c>
    </row>
    <row r="466" spans="13:71" ht="12.75">
      <c r="M466" s="5">
        <v>1.12E-09</v>
      </c>
      <c r="N466" s="5">
        <v>6.05401806281</v>
      </c>
      <c r="O466" s="5">
        <v>433.7117378768</v>
      </c>
      <c r="P466">
        <f t="shared" si="42"/>
        <v>4.1988029972263294E-10</v>
      </c>
      <c r="BP466" s="5">
        <v>5E-10</v>
      </c>
      <c r="BQ466" s="5">
        <v>1.46327331958</v>
      </c>
      <c r="BR466" s="5">
        <v>37455.7264959744</v>
      </c>
      <c r="BS466">
        <f t="shared" si="43"/>
        <v>-4.5919077998217297E-10</v>
      </c>
    </row>
    <row r="467" spans="13:71" ht="12.75">
      <c r="M467" s="5">
        <v>1.04E-09</v>
      </c>
      <c r="N467" s="5">
        <v>1.54931540602</v>
      </c>
      <c r="O467" s="5">
        <v>127.9515330346</v>
      </c>
      <c r="P467">
        <f t="shared" si="42"/>
        <v>-1.0397690598917355E-09</v>
      </c>
      <c r="BP467" s="5">
        <v>4.8E-10</v>
      </c>
      <c r="BQ467" s="5">
        <v>4.53854727167</v>
      </c>
      <c r="BR467" s="5">
        <v>29822.7832363242</v>
      </c>
      <c r="BS467">
        <f t="shared" si="43"/>
        <v>4.795227082262076E-10</v>
      </c>
    </row>
    <row r="468" spans="13:71" ht="12.75">
      <c r="M468" s="5">
        <v>1.05E-09</v>
      </c>
      <c r="N468" s="5">
        <v>4.82620858888</v>
      </c>
      <c r="O468" s="5">
        <v>33794.5437235286</v>
      </c>
      <c r="P468">
        <f t="shared" si="42"/>
        <v>4.1804706977747854E-10</v>
      </c>
      <c r="BP468" s="5">
        <v>5.8E-10</v>
      </c>
      <c r="BQ468" s="5">
        <v>3.34847975377</v>
      </c>
      <c r="BR468" s="5">
        <v>33990.6183442862</v>
      </c>
      <c r="BS468">
        <f t="shared" si="43"/>
        <v>5.645534960634443E-10</v>
      </c>
    </row>
    <row r="469" spans="13:71" ht="12.75">
      <c r="M469" s="5">
        <v>1.02E-09</v>
      </c>
      <c r="N469" s="5">
        <v>4.12448497391</v>
      </c>
      <c r="O469" s="5">
        <v>15664.0355227085</v>
      </c>
      <c r="P469">
        <f t="shared" si="42"/>
        <v>-1.2631441790547402E-10</v>
      </c>
      <c r="BP469" s="5">
        <v>6.5E-10</v>
      </c>
      <c r="BQ469" s="5">
        <v>1.45522693982</v>
      </c>
      <c r="BR469" s="5">
        <v>76251.3277706201</v>
      </c>
      <c r="BS469">
        <f t="shared" si="43"/>
        <v>-2.020167844511181E-11</v>
      </c>
    </row>
    <row r="470" spans="13:71" ht="12.75">
      <c r="M470" s="5">
        <v>1.07E-09</v>
      </c>
      <c r="N470" s="5">
        <v>4.67919356465</v>
      </c>
      <c r="O470" s="5">
        <v>77690.7595057384</v>
      </c>
      <c r="P470">
        <f t="shared" si="42"/>
        <v>-9.336025710586678E-10</v>
      </c>
      <c r="BP470" s="5">
        <v>5.6E-10</v>
      </c>
      <c r="BQ470" s="5">
        <v>2.35650663692</v>
      </c>
      <c r="BR470" s="5">
        <v>37724.7534197482</v>
      </c>
      <c r="BS470">
        <f t="shared" si="43"/>
        <v>4.4635625367163217E-10</v>
      </c>
    </row>
    <row r="471" spans="13:71" ht="12.75">
      <c r="M471" s="5">
        <v>1.18E-09</v>
      </c>
      <c r="N471" s="5">
        <v>4.5232017012</v>
      </c>
      <c r="O471" s="5">
        <v>19004.6479494084</v>
      </c>
      <c r="P471">
        <f t="shared" si="42"/>
        <v>7.635939025201718E-10</v>
      </c>
      <c r="BP471" s="5">
        <v>5.2E-10</v>
      </c>
      <c r="BQ471" s="5">
        <v>2.61551081496</v>
      </c>
      <c r="BR471" s="5">
        <v>5999.2165311262</v>
      </c>
      <c r="BS471">
        <f t="shared" si="43"/>
        <v>3.29030352033031E-10</v>
      </c>
    </row>
    <row r="472" spans="13:71" ht="12.75">
      <c r="M472" s="5">
        <v>1.07E-09</v>
      </c>
      <c r="N472" s="5">
        <v>5.71774478555</v>
      </c>
      <c r="O472" s="5">
        <v>77736.7834305024</v>
      </c>
      <c r="P472">
        <f t="shared" si="42"/>
        <v>5.532073828902561E-10</v>
      </c>
      <c r="BP472" s="5">
        <v>5.3E-10</v>
      </c>
      <c r="BQ472" s="5">
        <v>0.17334326094</v>
      </c>
      <c r="BR472" s="5">
        <v>77717.2945864694</v>
      </c>
      <c r="BS472">
        <f t="shared" si="43"/>
        <v>4.578313285135399E-10</v>
      </c>
    </row>
    <row r="473" spans="13:71" ht="12.75">
      <c r="M473" s="5">
        <v>1.43E-09</v>
      </c>
      <c r="N473" s="5">
        <v>1.81201813018</v>
      </c>
      <c r="O473" s="5">
        <v>4214.0690150848</v>
      </c>
      <c r="P473">
        <f t="shared" si="42"/>
        <v>-1.4134416164727021E-09</v>
      </c>
      <c r="BP473" s="5">
        <v>5.3E-10</v>
      </c>
      <c r="BQ473" s="5">
        <v>0.79879700631</v>
      </c>
      <c r="BR473" s="5">
        <v>77710.2483497714</v>
      </c>
      <c r="BS473">
        <f t="shared" si="43"/>
        <v>5.299681646310878E-10</v>
      </c>
    </row>
    <row r="474" spans="13:71" ht="12.75">
      <c r="M474" s="5">
        <v>1.25E-09</v>
      </c>
      <c r="N474" s="5">
        <v>1.14419195615</v>
      </c>
      <c r="O474" s="5">
        <v>625.6701923124</v>
      </c>
      <c r="P474">
        <f t="shared" si="42"/>
        <v>-1.0333875445999103E-09</v>
      </c>
      <c r="BP474" s="5">
        <v>4.7E-10</v>
      </c>
      <c r="BQ474" s="5">
        <v>0.43240779709</v>
      </c>
      <c r="BR474" s="5">
        <v>735.8765135318</v>
      </c>
      <c r="BS474">
        <f t="shared" si="43"/>
        <v>-4.69546110001485E-10</v>
      </c>
    </row>
    <row r="475" spans="13:71" ht="12.75">
      <c r="M475" s="5">
        <v>1.24E-09</v>
      </c>
      <c r="N475" s="5">
        <v>3.27736514057</v>
      </c>
      <c r="O475" s="5">
        <v>12566.08438968</v>
      </c>
      <c r="P475">
        <f t="shared" si="42"/>
        <v>1.0851430538726613E-09</v>
      </c>
      <c r="BP475" s="5">
        <v>5.3E-10</v>
      </c>
      <c r="BQ475" s="5">
        <v>4.58763261686</v>
      </c>
      <c r="BR475" s="5">
        <v>11616.976091013</v>
      </c>
      <c r="BS475">
        <f t="shared" si="43"/>
        <v>-4.851033573557219E-10</v>
      </c>
    </row>
    <row r="476" spans="13:71" ht="12.75">
      <c r="M476" s="5">
        <v>1.1E-09</v>
      </c>
      <c r="N476" s="5">
        <v>1.08682570828</v>
      </c>
      <c r="O476" s="5">
        <v>2787.0430238574</v>
      </c>
      <c r="P476">
        <f t="shared" si="42"/>
        <v>-8.023943729561762E-10</v>
      </c>
      <c r="BP476" s="5">
        <v>4.8E-10</v>
      </c>
      <c r="BQ476" s="5">
        <v>6.20230111054</v>
      </c>
      <c r="BR476" s="5">
        <v>4171.4255366138</v>
      </c>
      <c r="BS476">
        <f t="shared" si="43"/>
        <v>3.0680481403160747E-10</v>
      </c>
    </row>
    <row r="477" spans="13:71" ht="12.75">
      <c r="M477" s="5">
        <v>1.05E-09</v>
      </c>
      <c r="N477" s="5">
        <v>1.78318141871</v>
      </c>
      <c r="O477" s="5">
        <v>18139.2945014159</v>
      </c>
      <c r="P477">
        <f t="shared" si="42"/>
        <v>-1.0076401633938013E-10</v>
      </c>
      <c r="BP477" s="5">
        <v>5.2E-10</v>
      </c>
      <c r="BQ477" s="5">
        <v>1.09723616404</v>
      </c>
      <c r="BR477" s="5">
        <v>640.8776073822</v>
      </c>
      <c r="BS477">
        <f t="shared" si="43"/>
        <v>-4.664597383255175E-10</v>
      </c>
    </row>
    <row r="478" spans="13:71" ht="12.75">
      <c r="M478" s="5">
        <v>1.02E-09</v>
      </c>
      <c r="N478" s="5">
        <v>4.75119578149</v>
      </c>
      <c r="O478" s="5">
        <v>12242.6462833254</v>
      </c>
      <c r="P478">
        <f t="shared" si="42"/>
        <v>-4.177445934623546E-10</v>
      </c>
      <c r="BP478" s="5">
        <v>5.7E-10</v>
      </c>
      <c r="BQ478" s="5">
        <v>3.42008310383</v>
      </c>
      <c r="BR478" s="5">
        <v>50317.2034395308</v>
      </c>
      <c r="BS478">
        <f t="shared" si="43"/>
        <v>4.222590365670625E-10</v>
      </c>
    </row>
    <row r="479" spans="13:71" ht="12.75">
      <c r="M479" s="5">
        <v>1.37E-09</v>
      </c>
      <c r="N479" s="5">
        <v>1.43510636754</v>
      </c>
      <c r="O479" s="5">
        <v>86464.6133168311</v>
      </c>
      <c r="P479">
        <f t="shared" si="42"/>
        <v>3.2159190485981773E-10</v>
      </c>
      <c r="BP479" s="5">
        <v>5.3E-10</v>
      </c>
      <c r="BQ479" s="5">
        <v>1.01528448581</v>
      </c>
      <c r="BR479" s="5">
        <v>149144.467086249</v>
      </c>
      <c r="BS479">
        <f t="shared" si="43"/>
        <v>-3.245125292287267E-10</v>
      </c>
    </row>
    <row r="480" spans="13:71" ht="12.75">
      <c r="M480" s="5">
        <v>1.01E-09</v>
      </c>
      <c r="N480" s="5">
        <v>4.91289409429</v>
      </c>
      <c r="O480" s="5">
        <v>401.6721217572</v>
      </c>
      <c r="P480">
        <f t="shared" si="42"/>
        <v>-9.220064222768749E-10</v>
      </c>
      <c r="BP480" s="5">
        <v>4.7E-10</v>
      </c>
      <c r="BQ480" s="5">
        <v>3.00924906195</v>
      </c>
      <c r="BR480" s="5">
        <v>52175.8062831484</v>
      </c>
      <c r="BS480">
        <f t="shared" si="43"/>
        <v>-4.4680465760374423E-10</v>
      </c>
    </row>
    <row r="481" spans="13:71" ht="12.75">
      <c r="M481" s="5">
        <v>1.29E-09</v>
      </c>
      <c r="N481" s="5">
        <v>1.23567904485</v>
      </c>
      <c r="O481" s="5">
        <v>12029.3471878874</v>
      </c>
      <c r="P481">
        <f t="shared" si="42"/>
        <v>-3.484811525823424E-10</v>
      </c>
      <c r="BP481" s="5">
        <v>5.2E-10</v>
      </c>
      <c r="BQ481" s="5">
        <v>2.03254070404</v>
      </c>
      <c r="BR481" s="5">
        <v>6293.7125153412</v>
      </c>
      <c r="BS481">
        <f t="shared" si="43"/>
        <v>-3.7060739012739877E-10</v>
      </c>
    </row>
    <row r="482" spans="13:71" ht="12.75">
      <c r="M482" s="5">
        <v>1.38E-09</v>
      </c>
      <c r="N482" s="5">
        <v>2.45654707999</v>
      </c>
      <c r="O482" s="5">
        <v>7576.560073574</v>
      </c>
      <c r="P482">
        <f t="shared" si="42"/>
        <v>4.398080693837568E-10</v>
      </c>
      <c r="BP482" s="5">
        <v>4.8E-10</v>
      </c>
      <c r="BQ482" s="5">
        <v>0.12356889734</v>
      </c>
      <c r="BR482" s="5">
        <v>13362.4497067992</v>
      </c>
      <c r="BS482">
        <f t="shared" si="43"/>
        <v>3.1778413376742637E-10</v>
      </c>
    </row>
    <row r="483" spans="13:71" ht="12.75">
      <c r="M483" s="5">
        <v>1.03E-09</v>
      </c>
      <c r="N483" s="5">
        <v>0.40004073416</v>
      </c>
      <c r="O483" s="5">
        <v>90279.9231681032</v>
      </c>
      <c r="P483">
        <f t="shared" si="42"/>
        <v>-1.0296613659377897E-09</v>
      </c>
      <c r="BP483" s="5">
        <v>4.5E-10</v>
      </c>
      <c r="BQ483" s="5">
        <v>3.37963782356</v>
      </c>
      <c r="BR483" s="5">
        <v>10763.779709261</v>
      </c>
      <c r="BS483">
        <f t="shared" si="43"/>
        <v>-4.0184898431730167E-10</v>
      </c>
    </row>
    <row r="484" spans="13:71" ht="12.75">
      <c r="M484" s="5">
        <v>1.08E-09</v>
      </c>
      <c r="N484" s="5">
        <v>0.9898977494</v>
      </c>
      <c r="O484" s="5">
        <v>5636.0650166766</v>
      </c>
      <c r="P484">
        <f t="shared" si="42"/>
        <v>5.053284362410858E-10</v>
      </c>
      <c r="BP484" s="5">
        <v>4.7E-10</v>
      </c>
      <c r="BQ484" s="5">
        <v>5.50981287869</v>
      </c>
      <c r="BR484" s="5">
        <v>12779.4507954208</v>
      </c>
      <c r="BS484">
        <f t="shared" si="43"/>
        <v>2.826572687381289E-10</v>
      </c>
    </row>
    <row r="485" spans="13:71" ht="12.75">
      <c r="M485" s="5">
        <v>1.17E-09</v>
      </c>
      <c r="N485" s="5">
        <v>5.17362872063</v>
      </c>
      <c r="O485" s="5">
        <v>34520.3093093808</v>
      </c>
      <c r="P485">
        <f t="shared" si="42"/>
        <v>-2.829890428922047E-10</v>
      </c>
      <c r="BP485" s="5">
        <v>6.2E-10</v>
      </c>
      <c r="BQ485" s="5">
        <v>5.45209070099</v>
      </c>
      <c r="BR485" s="5">
        <v>949.1756089698</v>
      </c>
      <c r="BS485">
        <f t="shared" si="43"/>
        <v>-1.0556767730009468E-10</v>
      </c>
    </row>
    <row r="486" spans="13:71" ht="12.75">
      <c r="M486" s="5">
        <v>1E-09</v>
      </c>
      <c r="N486" s="5">
        <v>3.95534628189</v>
      </c>
      <c r="O486" s="5">
        <v>5547.1993364596</v>
      </c>
      <c r="P486">
        <f t="shared" si="42"/>
        <v>-9.83211327833114E-10</v>
      </c>
      <c r="BP486" s="5">
        <v>6.1E-10</v>
      </c>
      <c r="BQ486" s="5">
        <v>2.93237974631</v>
      </c>
      <c r="BR486" s="5">
        <v>5791.4125575326</v>
      </c>
      <c r="BS486">
        <f t="shared" si="43"/>
        <v>1.3407043382161068E-10</v>
      </c>
    </row>
    <row r="487" spans="13:71" ht="12.75">
      <c r="M487" s="5">
        <v>9.8E-10</v>
      </c>
      <c r="N487" s="5">
        <v>1.28118280598</v>
      </c>
      <c r="O487" s="5">
        <v>21548.9623692918</v>
      </c>
      <c r="P487">
        <f t="shared" si="42"/>
        <v>-4.092324898127578E-10</v>
      </c>
      <c r="BP487" s="5">
        <v>4.4E-10</v>
      </c>
      <c r="BQ487" s="5">
        <v>2.87440620802</v>
      </c>
      <c r="BR487" s="5">
        <v>8584.6616659008</v>
      </c>
      <c r="BS487">
        <f t="shared" si="43"/>
        <v>4.1173928133377294E-11</v>
      </c>
    </row>
    <row r="488" spans="13:71" ht="12.75">
      <c r="M488" s="5">
        <v>9.7E-10</v>
      </c>
      <c r="N488" s="5">
        <v>3.34717130592</v>
      </c>
      <c r="O488" s="5">
        <v>16310.9790457206</v>
      </c>
      <c r="P488">
        <f t="shared" si="42"/>
        <v>-8.20347594716829E-10</v>
      </c>
      <c r="BP488" s="5">
        <v>4.6E-10</v>
      </c>
      <c r="BQ488" s="5">
        <v>4.0314179656</v>
      </c>
      <c r="BR488" s="5">
        <v>10667.8004820432</v>
      </c>
      <c r="BS488">
        <f t="shared" si="43"/>
        <v>-4.5917281528574593E-10</v>
      </c>
    </row>
    <row r="489" spans="13:71" ht="12.75">
      <c r="M489" s="5">
        <v>9.8E-10</v>
      </c>
      <c r="N489" s="5">
        <v>4.37041908717</v>
      </c>
      <c r="O489" s="5">
        <v>34513.2630726828</v>
      </c>
      <c r="P489">
        <f t="shared" si="42"/>
        <v>5.895201495188917E-10</v>
      </c>
      <c r="BP489" s="5">
        <v>4.7E-10</v>
      </c>
      <c r="BQ489" s="5">
        <v>3.89902931422</v>
      </c>
      <c r="BR489" s="5">
        <v>3903.9113764198</v>
      </c>
      <c r="BS489">
        <f t="shared" si="43"/>
        <v>-7.051020300836504E-13</v>
      </c>
    </row>
    <row r="490" spans="13:71" ht="12.75">
      <c r="M490" s="5">
        <v>1.25E-09</v>
      </c>
      <c r="N490" s="5">
        <v>2.7216443296</v>
      </c>
      <c r="O490" s="5">
        <v>24065.8079227755</v>
      </c>
      <c r="P490">
        <f t="shared" si="42"/>
        <v>-1.2226845041355502E-09</v>
      </c>
      <c r="BP490" s="5">
        <v>4.6E-10</v>
      </c>
      <c r="BQ490" s="5">
        <v>2.75700467329</v>
      </c>
      <c r="BR490" s="5">
        <v>6993.0088985497</v>
      </c>
      <c r="BS490">
        <f t="shared" si="43"/>
        <v>3.621907626138011E-10</v>
      </c>
    </row>
    <row r="491" spans="13:71" ht="12.75">
      <c r="M491" s="5">
        <v>1.02E-09</v>
      </c>
      <c r="N491" s="5">
        <v>0.66938025772</v>
      </c>
      <c r="O491" s="5">
        <v>10239.5838660108</v>
      </c>
      <c r="P491">
        <f t="shared" si="42"/>
        <v>7.502034854153829E-10</v>
      </c>
      <c r="BP491" s="5">
        <v>4.5E-10</v>
      </c>
      <c r="BQ491" s="5">
        <v>1.933862933</v>
      </c>
      <c r="BR491" s="5">
        <v>206.1855484372</v>
      </c>
      <c r="BS491">
        <f t="shared" si="43"/>
        <v>-1.0986407550747128E-10</v>
      </c>
    </row>
    <row r="492" spans="13:71" ht="12.75">
      <c r="M492" s="5">
        <v>1.19E-09</v>
      </c>
      <c r="N492" s="5">
        <v>1.21689479331</v>
      </c>
      <c r="O492" s="5">
        <v>1478.8665740644</v>
      </c>
      <c r="P492">
        <f t="shared" si="42"/>
        <v>1.0283401371679546E-09</v>
      </c>
      <c r="BP492" s="5">
        <v>4.7E-10</v>
      </c>
      <c r="BQ492" s="5">
        <v>2.57670800912</v>
      </c>
      <c r="BR492" s="5">
        <v>11492.542675792</v>
      </c>
      <c r="BS492">
        <f t="shared" si="43"/>
        <v>3.2341550563404427E-10</v>
      </c>
    </row>
    <row r="493" spans="13:71" ht="12.75">
      <c r="M493" s="5">
        <v>9.4E-10</v>
      </c>
      <c r="N493" s="5">
        <v>1.99595224256</v>
      </c>
      <c r="O493" s="5">
        <v>13362.4497067992</v>
      </c>
      <c r="P493">
        <f t="shared" si="42"/>
        <v>-8.575491098673497E-10</v>
      </c>
      <c r="BP493" s="5">
        <v>4.4E-10</v>
      </c>
      <c r="BQ493" s="5">
        <v>3.62570223167</v>
      </c>
      <c r="BR493" s="5">
        <v>63658.8777508376</v>
      </c>
      <c r="BS493">
        <f t="shared" si="43"/>
        <v>4.3914509127131164E-10</v>
      </c>
    </row>
    <row r="494" spans="13:71" ht="12.75">
      <c r="M494" s="5">
        <v>9.4E-10</v>
      </c>
      <c r="N494" s="5">
        <v>4.30965982872</v>
      </c>
      <c r="O494" s="5">
        <v>26880.3198130326</v>
      </c>
      <c r="P494">
        <f t="shared" si="42"/>
        <v>1.7610354008607752E-10</v>
      </c>
      <c r="BP494" s="5">
        <v>5.1E-10</v>
      </c>
      <c r="BQ494" s="5">
        <v>0.84536826273</v>
      </c>
      <c r="BR494" s="5">
        <v>12345.739057544</v>
      </c>
      <c r="BS494">
        <f t="shared" si="43"/>
        <v>-4.062733821837721E-11</v>
      </c>
    </row>
    <row r="495" spans="13:71" ht="12.75">
      <c r="M495" s="5">
        <v>9.5E-10</v>
      </c>
      <c r="N495" s="5">
        <v>2.89807657534</v>
      </c>
      <c r="O495" s="5">
        <v>34911.412076091</v>
      </c>
      <c r="P495">
        <f t="shared" si="42"/>
        <v>-3.4374513173366473E-10</v>
      </c>
      <c r="BP495" s="5">
        <v>4.3E-10</v>
      </c>
      <c r="BQ495" s="5">
        <v>0.01524970172</v>
      </c>
      <c r="BR495" s="5">
        <v>37853.8754993826</v>
      </c>
      <c r="BS495">
        <f t="shared" si="43"/>
        <v>4.2752688675597313E-10</v>
      </c>
    </row>
    <row r="496" spans="13:71" ht="12.75">
      <c r="M496" s="5">
        <v>1.06E-09</v>
      </c>
      <c r="N496" s="5">
        <v>1.0015665359</v>
      </c>
      <c r="O496" s="5">
        <v>16522.6597160022</v>
      </c>
      <c r="P496">
        <f t="shared" si="42"/>
        <v>-1.0097575743180643E-09</v>
      </c>
      <c r="BP496" s="5">
        <v>4.1E-10</v>
      </c>
      <c r="BQ496" s="5">
        <v>3.27146326065</v>
      </c>
      <c r="BR496" s="5">
        <v>8858.3149443206</v>
      </c>
      <c r="BS496">
        <f t="shared" si="43"/>
        <v>2.0447562034379591E-10</v>
      </c>
    </row>
    <row r="497" spans="13:71" ht="12.75">
      <c r="M497" s="5">
        <v>9.7E-10</v>
      </c>
      <c r="N497" s="5">
        <v>0.89642320201</v>
      </c>
      <c r="O497" s="5">
        <v>71980.6335747311</v>
      </c>
      <c r="P497">
        <f t="shared" si="42"/>
        <v>4.1020458170066527E-10</v>
      </c>
      <c r="BP497" s="5">
        <v>4.5E-10</v>
      </c>
      <c r="BQ497" s="5">
        <v>3.03765521215</v>
      </c>
      <c r="BR497" s="5">
        <v>65236.2212932854</v>
      </c>
      <c r="BS497">
        <f t="shared" si="43"/>
        <v>4.4616251192968137E-10</v>
      </c>
    </row>
    <row r="498" spans="13:71" ht="12.75">
      <c r="M498" s="5">
        <v>1.16E-09</v>
      </c>
      <c r="N498" s="5">
        <v>4.19967201116</v>
      </c>
      <c r="O498" s="5">
        <v>206.7007372966</v>
      </c>
      <c r="P498">
        <f t="shared" si="42"/>
        <v>1.0421337024460175E-09</v>
      </c>
      <c r="BP498" s="5">
        <v>4.7E-10</v>
      </c>
      <c r="BQ498" s="5">
        <v>1.44447548944</v>
      </c>
      <c r="BR498" s="5">
        <v>21393.5419698576</v>
      </c>
      <c r="BS498">
        <f t="shared" si="43"/>
        <v>4.546397950507147E-10</v>
      </c>
    </row>
    <row r="499" spans="13:71" ht="12.75">
      <c r="M499" s="5">
        <v>9.9E-10</v>
      </c>
      <c r="N499" s="5">
        <v>1.37437847718</v>
      </c>
      <c r="O499" s="5">
        <v>1039.0266107904</v>
      </c>
      <c r="P499">
        <f t="shared" si="42"/>
        <v>3.844053318475604E-12</v>
      </c>
      <c r="BP499" s="5">
        <v>5.8E-10</v>
      </c>
      <c r="BQ499" s="5">
        <v>5.45843180927</v>
      </c>
      <c r="BR499" s="5">
        <v>1975.492545856</v>
      </c>
      <c r="BS499">
        <f t="shared" si="43"/>
        <v>-7.420925143232367E-11</v>
      </c>
    </row>
    <row r="500" spans="13:71" ht="12.75">
      <c r="M500" s="5">
        <v>1.26E-09</v>
      </c>
      <c r="N500" s="5">
        <v>3.21642544972</v>
      </c>
      <c r="O500" s="5">
        <v>305281.943071048</v>
      </c>
      <c r="P500">
        <f t="shared" si="42"/>
        <v>7.665316393091009E-10</v>
      </c>
      <c r="BP500" s="5">
        <v>5E-10</v>
      </c>
      <c r="BQ500" s="5">
        <v>2.13285524146</v>
      </c>
      <c r="BR500" s="5">
        <v>12573.2652469836</v>
      </c>
      <c r="BS500">
        <f t="shared" si="43"/>
        <v>4.259459407207409E-10</v>
      </c>
    </row>
    <row r="501" spans="13:71" ht="12.75">
      <c r="M501" s="5">
        <v>9.4E-10</v>
      </c>
      <c r="N501" s="5">
        <v>0.6899787606</v>
      </c>
      <c r="O501" s="5">
        <v>7834.1210726394</v>
      </c>
      <c r="P501">
        <f t="shared" si="42"/>
        <v>-8.253961207821572E-10</v>
      </c>
      <c r="BP501" s="5">
        <v>4.1E-10</v>
      </c>
      <c r="BQ501" s="5">
        <v>1.32190847146</v>
      </c>
      <c r="BR501" s="5">
        <v>2547.8375382324</v>
      </c>
      <c r="BS501">
        <f t="shared" si="43"/>
        <v>1.513941208611532E-10</v>
      </c>
    </row>
    <row r="502" spans="13:71" ht="12.75">
      <c r="M502" s="5">
        <v>9.4E-10</v>
      </c>
      <c r="N502" s="5">
        <v>5.58132218606</v>
      </c>
      <c r="O502" s="5">
        <v>3104.9300594238</v>
      </c>
      <c r="P502">
        <f t="shared" si="42"/>
        <v>9.050733619165301E-10</v>
      </c>
      <c r="BP502" s="5">
        <v>4.7E-10</v>
      </c>
      <c r="BQ502" s="5">
        <v>3.67579608544</v>
      </c>
      <c r="BR502" s="5">
        <v>28313.288804661</v>
      </c>
      <c r="BS502">
        <f t="shared" si="43"/>
        <v>4.1140191401260815E-10</v>
      </c>
    </row>
    <row r="503" spans="13:71" ht="12.75">
      <c r="M503" s="5">
        <v>9.5E-10</v>
      </c>
      <c r="N503" s="5">
        <v>3.0382374111</v>
      </c>
      <c r="O503" s="5">
        <v>8982.810669309</v>
      </c>
      <c r="P503">
        <f t="shared" si="42"/>
        <v>9.211986393603476E-10</v>
      </c>
      <c r="BP503" s="5">
        <v>4.1E-10</v>
      </c>
      <c r="BQ503" s="5">
        <v>2.24013475126</v>
      </c>
      <c r="BR503" s="5">
        <v>8273.8208670324</v>
      </c>
      <c r="BS503">
        <f t="shared" si="43"/>
        <v>-4.04270077703479E-10</v>
      </c>
    </row>
    <row r="504" spans="13:71" ht="12.75">
      <c r="M504" s="5">
        <v>1.08E-09</v>
      </c>
      <c r="N504" s="5">
        <v>0.52696637156</v>
      </c>
      <c r="O504" s="5">
        <v>276.7457718644</v>
      </c>
      <c r="P504">
        <f t="shared" si="42"/>
        <v>-7.649551219241702E-10</v>
      </c>
      <c r="BP504" s="5">
        <v>4.7E-10</v>
      </c>
      <c r="BQ504" s="5">
        <v>6.21438985953</v>
      </c>
      <c r="BR504" s="5">
        <v>10991.3058987006</v>
      </c>
      <c r="BS504">
        <f t="shared" si="43"/>
        <v>-4.6174908456761273E-10</v>
      </c>
    </row>
    <row r="505" spans="13:71" ht="12.75">
      <c r="M505" s="5">
        <v>1.24E-09</v>
      </c>
      <c r="N505" s="5">
        <v>3.43899862683</v>
      </c>
      <c r="O505" s="5">
        <v>172146.97134054</v>
      </c>
      <c r="P505">
        <f t="shared" si="42"/>
        <v>1.2353987985309226E-09</v>
      </c>
      <c r="BP505" s="5">
        <v>4.2E-10</v>
      </c>
      <c r="BQ505" s="5">
        <v>3.0163181735</v>
      </c>
      <c r="BR505" s="5">
        <v>853.196381752</v>
      </c>
      <c r="BS505">
        <f t="shared" si="43"/>
        <v>2.5212641026957177E-10</v>
      </c>
    </row>
    <row r="506" spans="13:71" ht="12.75">
      <c r="M506" s="5">
        <v>1.02E-09</v>
      </c>
      <c r="N506" s="5">
        <v>1.04031728553</v>
      </c>
      <c r="O506" s="5">
        <v>95143.1329209781</v>
      </c>
      <c r="P506">
        <f t="shared" si="42"/>
        <v>7.838860861960814E-10</v>
      </c>
      <c r="BP506" s="5">
        <v>5.6E-10</v>
      </c>
      <c r="BQ506" s="5">
        <v>1.09773690181</v>
      </c>
      <c r="BR506" s="5">
        <v>77376.2010224075</v>
      </c>
      <c r="BS506">
        <f t="shared" si="43"/>
        <v>-4.4563798355376237E-10</v>
      </c>
    </row>
    <row r="507" spans="13:71" ht="12.75">
      <c r="M507" s="5">
        <v>1.04E-09</v>
      </c>
      <c r="N507" s="5">
        <v>3.39218586218</v>
      </c>
      <c r="O507" s="5">
        <v>290.972865866</v>
      </c>
      <c r="P507">
        <f t="shared" si="42"/>
        <v>8.073321659661479E-10</v>
      </c>
      <c r="BP507" s="5">
        <v>4E-10</v>
      </c>
      <c r="BQ507" s="5">
        <v>2.35698541041</v>
      </c>
      <c r="BR507" s="5">
        <v>2699.7348193176</v>
      </c>
      <c r="BS507">
        <f t="shared" si="43"/>
        <v>-2.3224249796508044E-10</v>
      </c>
    </row>
    <row r="508" spans="13:71" ht="12.75">
      <c r="M508" s="5">
        <v>1.1E-09</v>
      </c>
      <c r="N508" s="5">
        <v>3.68205877433</v>
      </c>
      <c r="O508" s="5">
        <v>22380.755800274</v>
      </c>
      <c r="P508">
        <f t="shared" si="42"/>
        <v>-5.074111020313448E-10</v>
      </c>
      <c r="BP508" s="5">
        <v>4.3E-10</v>
      </c>
      <c r="BQ508" s="5">
        <v>5.28030898459</v>
      </c>
      <c r="BR508" s="5">
        <v>17796.9591667858</v>
      </c>
      <c r="BS508">
        <f t="shared" si="43"/>
        <v>-3.092862748318376E-10</v>
      </c>
    </row>
    <row r="509" spans="13:71" ht="12.75">
      <c r="M509" s="5">
        <v>1.17E-09</v>
      </c>
      <c r="N509" s="5">
        <v>0.78475956902</v>
      </c>
      <c r="O509" s="5">
        <v>83286.9142695535</v>
      </c>
      <c r="P509">
        <f t="shared" si="42"/>
        <v>9.39506687286697E-10</v>
      </c>
      <c r="BP509" s="5">
        <v>5.4E-10</v>
      </c>
      <c r="BQ509" s="5">
        <v>2.59175932091</v>
      </c>
      <c r="BR509" s="5">
        <v>22910.4467653685</v>
      </c>
      <c r="BS509">
        <f t="shared" si="43"/>
        <v>2.051085244946385E-10</v>
      </c>
    </row>
    <row r="510" spans="13:71" ht="12.75">
      <c r="M510" s="5">
        <v>8.3E-10</v>
      </c>
      <c r="N510" s="5">
        <v>0.18241793425</v>
      </c>
      <c r="O510" s="5">
        <v>15141.390794312</v>
      </c>
      <c r="P510">
        <f t="shared" si="42"/>
        <v>-6.017522428347047E-10</v>
      </c>
      <c r="BP510" s="5">
        <v>5.4E-10</v>
      </c>
      <c r="BQ510" s="5">
        <v>0.88027764102</v>
      </c>
      <c r="BR510" s="5">
        <v>71960.3865832236</v>
      </c>
      <c r="BS510">
        <f t="shared" si="43"/>
        <v>9.234911142701892E-11</v>
      </c>
    </row>
    <row r="511" spans="13:71" ht="12.75">
      <c r="M511" s="5">
        <v>8.9E-10</v>
      </c>
      <c r="N511" s="5">
        <v>4.45371820659</v>
      </c>
      <c r="O511" s="5">
        <v>792.7748884674</v>
      </c>
      <c r="P511">
        <f t="shared" si="42"/>
        <v>-4.5873896645710246E-11</v>
      </c>
      <c r="BP511" s="5">
        <v>5.5E-10</v>
      </c>
      <c r="BQ511" s="5">
        <v>0.07988899477</v>
      </c>
      <c r="BR511" s="5">
        <v>83467.1563530172</v>
      </c>
      <c r="BS511">
        <f t="shared" si="43"/>
        <v>3.5467395459120653E-10</v>
      </c>
    </row>
    <row r="512" spans="13:71" ht="12.75">
      <c r="M512" s="5">
        <v>8.2E-10</v>
      </c>
      <c r="N512" s="5">
        <v>4.80703651241</v>
      </c>
      <c r="O512" s="5">
        <v>6819.8803620868</v>
      </c>
      <c r="P512">
        <f t="shared" si="42"/>
        <v>6.82130711885908E-10</v>
      </c>
      <c r="BP512" s="5">
        <v>3.9E-10</v>
      </c>
      <c r="BQ512" s="5">
        <v>1.12867321442</v>
      </c>
      <c r="BR512" s="5">
        <v>9910.583327509</v>
      </c>
      <c r="BS512">
        <f t="shared" si="43"/>
        <v>-3.7196886155336945E-10</v>
      </c>
    </row>
    <row r="513" spans="13:71" ht="12.75">
      <c r="M513" s="5">
        <v>8.7E-10</v>
      </c>
      <c r="N513" s="5">
        <v>3.43122851097</v>
      </c>
      <c r="O513" s="5">
        <v>27707.5424942948</v>
      </c>
      <c r="P513">
        <f t="shared" si="42"/>
        <v>-2.8491491780132544E-10</v>
      </c>
      <c r="BP513" s="5">
        <v>4E-10</v>
      </c>
      <c r="BQ513" s="5">
        <v>1.35670430524</v>
      </c>
      <c r="BR513" s="5">
        <v>27177.8515292002</v>
      </c>
      <c r="BS513">
        <f t="shared" si="43"/>
        <v>-1.9603093632088713E-10</v>
      </c>
    </row>
    <row r="514" spans="13:71" ht="12.75">
      <c r="M514" s="5">
        <v>1.01E-09</v>
      </c>
      <c r="N514" s="5">
        <v>5.32081603011</v>
      </c>
      <c r="O514" s="5">
        <v>2301.58581590939</v>
      </c>
      <c r="P514">
        <f aca="true" t="shared" si="44" ref="P514:P559">M514*COS(N514+O514*$E$16)</f>
        <v>-5.676278241778879E-10</v>
      </c>
      <c r="BP514" s="5">
        <v>3.9E-10</v>
      </c>
      <c r="BQ514" s="5">
        <v>4.39624220245</v>
      </c>
      <c r="BR514" s="5">
        <v>5618.3198048614</v>
      </c>
      <c r="BS514">
        <f aca="true" t="shared" si="45" ref="BS514:BS526">BP514*COS(BQ514+BR514*$E$16)</f>
        <v>-1.6613860903199315E-10</v>
      </c>
    </row>
    <row r="515" spans="13:71" ht="12.75">
      <c r="M515" s="5">
        <v>8.2E-10</v>
      </c>
      <c r="N515" s="5">
        <v>0.87060089842</v>
      </c>
      <c r="O515" s="5">
        <v>10241.2022911672</v>
      </c>
      <c r="P515">
        <f t="shared" si="44"/>
        <v>4.665876009432771E-10</v>
      </c>
      <c r="BP515" s="5">
        <v>4.2E-10</v>
      </c>
      <c r="BQ515" s="5">
        <v>4.78798367468</v>
      </c>
      <c r="BR515" s="5">
        <v>7856.89627409019</v>
      </c>
      <c r="BS515">
        <f t="shared" si="45"/>
        <v>3.10969753701108E-10</v>
      </c>
    </row>
    <row r="516" spans="13:71" ht="12.75">
      <c r="M516" s="5">
        <v>8.6E-10</v>
      </c>
      <c r="N516" s="5">
        <v>4.61919461931</v>
      </c>
      <c r="O516" s="5">
        <v>36147.4098773004</v>
      </c>
      <c r="P516">
        <f t="shared" si="44"/>
        <v>-6.291163598956614E-10</v>
      </c>
      <c r="BP516" s="5">
        <v>4.7E-10</v>
      </c>
      <c r="BQ516" s="5">
        <v>2.75482175292</v>
      </c>
      <c r="BR516" s="5">
        <v>18202.2167166593</v>
      </c>
      <c r="BS516">
        <f t="shared" si="45"/>
        <v>4.685930737573735E-10</v>
      </c>
    </row>
    <row r="517" spans="13:71" ht="12.75">
      <c r="M517" s="5">
        <v>9.5E-10</v>
      </c>
      <c r="N517" s="5">
        <v>2.87032884659</v>
      </c>
      <c r="O517" s="5">
        <v>23020.6530865879</v>
      </c>
      <c r="P517">
        <f t="shared" si="44"/>
        <v>-8.991879392499454E-10</v>
      </c>
      <c r="BP517" s="5">
        <v>3.9E-10</v>
      </c>
      <c r="BQ517" s="5">
        <v>1.97008298629</v>
      </c>
      <c r="BR517" s="5">
        <v>24491.4257925834</v>
      </c>
      <c r="BS517">
        <f t="shared" si="45"/>
        <v>1.6856192833387487E-10</v>
      </c>
    </row>
    <row r="518" spans="13:71" ht="12.75">
      <c r="M518" s="5">
        <v>8.8E-10</v>
      </c>
      <c r="N518" s="5">
        <v>3.2113316569</v>
      </c>
      <c r="O518" s="5">
        <v>33326.5787331742</v>
      </c>
      <c r="P518">
        <f t="shared" si="44"/>
        <v>-5.455426482127064E-10</v>
      </c>
      <c r="BP518" s="5">
        <v>4.2E-10</v>
      </c>
      <c r="BQ518" s="5">
        <v>4.04346599946</v>
      </c>
      <c r="BR518" s="5">
        <v>7863.9425107882</v>
      </c>
      <c r="BS518">
        <f t="shared" si="45"/>
        <v>4.186856707779978E-10</v>
      </c>
    </row>
    <row r="519" spans="13:71" ht="12.75">
      <c r="M519" s="5">
        <v>8E-10</v>
      </c>
      <c r="N519" s="5">
        <v>1.84900424847</v>
      </c>
      <c r="O519" s="5">
        <v>21424.4666443034</v>
      </c>
      <c r="P519">
        <f t="shared" si="44"/>
        <v>4.045372586301272E-10</v>
      </c>
      <c r="BP519" s="5">
        <v>3.8E-10</v>
      </c>
      <c r="BQ519" s="5">
        <v>0.49178679251</v>
      </c>
      <c r="BR519" s="5">
        <v>38650.173506199</v>
      </c>
      <c r="BS519">
        <f t="shared" si="45"/>
        <v>-2.8499997837768573E-10</v>
      </c>
    </row>
    <row r="520" spans="13:71" ht="12.75">
      <c r="M520" s="5">
        <v>1.01E-09</v>
      </c>
      <c r="N520" s="5">
        <v>4.18796434479</v>
      </c>
      <c r="O520" s="5">
        <v>30666.1549584328</v>
      </c>
      <c r="P520">
        <f t="shared" si="44"/>
        <v>-8.18738368642444E-10</v>
      </c>
      <c r="BP520" s="5">
        <v>3.6E-10</v>
      </c>
      <c r="BQ520" s="5">
        <v>4.86047906533</v>
      </c>
      <c r="BR520" s="5">
        <v>4157.1984426122</v>
      </c>
      <c r="BS520">
        <f t="shared" si="45"/>
        <v>2.889356035814493E-10</v>
      </c>
    </row>
    <row r="521" spans="13:71" ht="12.75">
      <c r="M521" s="5">
        <v>1.07E-09</v>
      </c>
      <c r="N521" s="5">
        <v>5.77864921649</v>
      </c>
      <c r="O521" s="5">
        <v>34115.1140692746</v>
      </c>
      <c r="P521">
        <f t="shared" si="44"/>
        <v>-8.914577853786384E-10</v>
      </c>
      <c r="BP521" s="5">
        <v>4.3E-10</v>
      </c>
      <c r="BQ521" s="5">
        <v>5.64354880978</v>
      </c>
      <c r="BR521" s="5">
        <v>1062.9050485382</v>
      </c>
      <c r="BS521">
        <f t="shared" si="45"/>
        <v>4.249188984776742E-10</v>
      </c>
    </row>
    <row r="522" spans="13:71" ht="12.75">
      <c r="M522" s="5">
        <v>1.04E-09</v>
      </c>
      <c r="N522" s="5">
        <v>1.08739495962</v>
      </c>
      <c r="O522" s="5">
        <v>6288.5987742988</v>
      </c>
      <c r="P522">
        <f t="shared" si="44"/>
        <v>-1.0124959061351212E-09</v>
      </c>
      <c r="BP522" s="5">
        <v>3.6E-10</v>
      </c>
      <c r="BQ522" s="5">
        <v>3.98066313627</v>
      </c>
      <c r="BR522" s="5">
        <v>12565.1713789146</v>
      </c>
      <c r="BS522">
        <f t="shared" si="45"/>
        <v>1.313848640824615E-10</v>
      </c>
    </row>
    <row r="523" spans="13:71" ht="12.75">
      <c r="M523" s="5">
        <v>1.1E-09</v>
      </c>
      <c r="N523" s="5">
        <v>3.32898859416</v>
      </c>
      <c r="O523" s="5">
        <v>72140.6286666873</v>
      </c>
      <c r="P523">
        <f t="shared" si="44"/>
        <v>-1.0918911161440139E-09</v>
      </c>
      <c r="BP523" s="5">
        <v>4.2E-10</v>
      </c>
      <c r="BQ523" s="5">
        <v>2.30753932657</v>
      </c>
      <c r="BR523" s="5">
        <v>6549.6828917132</v>
      </c>
      <c r="BS523">
        <f t="shared" si="45"/>
        <v>2.0748972473928543E-10</v>
      </c>
    </row>
    <row r="524" spans="13:71" ht="12.75">
      <c r="M524" s="5">
        <v>8.7E-10</v>
      </c>
      <c r="N524" s="5">
        <v>4.40657711727</v>
      </c>
      <c r="O524" s="5">
        <v>142.1786270362</v>
      </c>
      <c r="P524">
        <f t="shared" si="44"/>
        <v>8.625795370244788E-10</v>
      </c>
      <c r="BP524" s="5">
        <v>4E-10</v>
      </c>
      <c r="BQ524" s="5">
        <v>5.3969491832</v>
      </c>
      <c r="BR524" s="5">
        <v>9498.2122306346</v>
      </c>
      <c r="BS524">
        <f t="shared" si="45"/>
        <v>-3.528884701362818E-10</v>
      </c>
    </row>
    <row r="525" spans="13:71" ht="12.75">
      <c r="M525" s="5">
        <v>1.09E-09</v>
      </c>
      <c r="N525" s="5">
        <v>1.94546030825</v>
      </c>
      <c r="O525" s="5">
        <v>24279.1070182135</v>
      </c>
      <c r="P525">
        <f t="shared" si="44"/>
        <v>6.843203567210898E-11</v>
      </c>
      <c r="BP525" s="5">
        <v>4E-10</v>
      </c>
      <c r="BQ525" s="5">
        <v>3.30603243754</v>
      </c>
      <c r="BR525" s="5">
        <v>23536.1169576809</v>
      </c>
      <c r="BS525">
        <f t="shared" si="45"/>
        <v>-3.952843837640115E-10</v>
      </c>
    </row>
    <row r="526" spans="13:71" ht="12.75">
      <c r="M526" s="5">
        <v>8.7E-10</v>
      </c>
      <c r="N526" s="5">
        <v>4.32472045435</v>
      </c>
      <c r="O526" s="5">
        <v>742.9900605326</v>
      </c>
      <c r="P526">
        <f t="shared" si="44"/>
        <v>5.529633226355792E-10</v>
      </c>
      <c r="BP526" s="5">
        <v>5E-10</v>
      </c>
      <c r="BQ526" s="5">
        <v>6.15760345261</v>
      </c>
      <c r="BR526" s="5">
        <v>78051.3419138333</v>
      </c>
      <c r="BS526">
        <f t="shared" si="45"/>
        <v>-4.95550649203656E-10</v>
      </c>
    </row>
    <row r="527" spans="13:16" ht="12.75">
      <c r="M527" s="5">
        <v>1.07E-09</v>
      </c>
      <c r="N527" s="5">
        <v>4.91580912547</v>
      </c>
      <c r="O527" s="5">
        <v>277.0349937414</v>
      </c>
      <c r="P527">
        <f t="shared" si="44"/>
        <v>-4.785937970119541E-10</v>
      </c>
    </row>
    <row r="528" spans="13:16" ht="12.75">
      <c r="M528" s="5">
        <v>8.8E-10</v>
      </c>
      <c r="N528" s="5">
        <v>2.10180220766</v>
      </c>
      <c r="O528" s="5">
        <v>26482.1708096244</v>
      </c>
      <c r="P528">
        <f t="shared" si="44"/>
        <v>7.415714362922268E-10</v>
      </c>
    </row>
    <row r="529" spans="13:16" ht="12.75">
      <c r="M529" s="5">
        <v>8.6E-10</v>
      </c>
      <c r="N529" s="5">
        <v>4.01887374432</v>
      </c>
      <c r="O529" s="5">
        <v>12491.3701014155</v>
      </c>
      <c r="P529">
        <f t="shared" si="44"/>
        <v>8.138291497284547E-10</v>
      </c>
    </row>
    <row r="530" spans="13:16" ht="12.75">
      <c r="M530" s="5">
        <v>1.06E-09</v>
      </c>
      <c r="N530" s="5">
        <v>5.49092372854</v>
      </c>
      <c r="O530" s="5">
        <v>62883.3551395136</v>
      </c>
      <c r="P530">
        <f t="shared" si="44"/>
        <v>1.4129243985618645E-10</v>
      </c>
    </row>
    <row r="531" spans="13:16" ht="12.75">
      <c r="M531" s="5">
        <v>8E-10</v>
      </c>
      <c r="N531" s="5">
        <v>6.19781316983</v>
      </c>
      <c r="O531" s="5">
        <v>6709.6740408674</v>
      </c>
      <c r="P531">
        <f t="shared" si="44"/>
        <v>6.483898814443742E-10</v>
      </c>
    </row>
    <row r="532" spans="13:16" ht="12.75">
      <c r="M532" s="5">
        <v>8.8E-10</v>
      </c>
      <c r="N532" s="5">
        <v>2.09872810657</v>
      </c>
      <c r="O532" s="5">
        <v>238004.524157236</v>
      </c>
      <c r="P532">
        <f t="shared" si="44"/>
        <v>-8.750015256612891E-10</v>
      </c>
    </row>
    <row r="533" spans="13:16" ht="12.75">
      <c r="M533" s="5">
        <v>8.3E-10</v>
      </c>
      <c r="N533" s="5">
        <v>4.90662164029</v>
      </c>
      <c r="O533" s="5">
        <v>51.28033786241</v>
      </c>
      <c r="P533">
        <f t="shared" si="44"/>
        <v>6.090764026833811E-10</v>
      </c>
    </row>
    <row r="534" spans="13:16" ht="12.75">
      <c r="M534" s="5">
        <v>9.5E-10</v>
      </c>
      <c r="N534" s="5">
        <v>4.13387406591</v>
      </c>
      <c r="O534" s="5">
        <v>18216.443810661</v>
      </c>
      <c r="P534">
        <f t="shared" si="44"/>
        <v>-5.730200389323176E-11</v>
      </c>
    </row>
    <row r="535" spans="13:16" ht="12.75">
      <c r="M535" s="5">
        <v>7.8E-10</v>
      </c>
      <c r="N535" s="5">
        <v>6.0694939168</v>
      </c>
      <c r="O535" s="5">
        <v>148434.534037691</v>
      </c>
      <c r="P535">
        <f t="shared" si="44"/>
        <v>7.214579056001742E-10</v>
      </c>
    </row>
    <row r="536" spans="13:16" ht="12.75">
      <c r="M536" s="5">
        <v>7.9E-10</v>
      </c>
      <c r="N536" s="5">
        <v>3.03048221644</v>
      </c>
      <c r="O536" s="5">
        <v>838.9692877504</v>
      </c>
      <c r="P536">
        <f t="shared" si="44"/>
        <v>5.691370944096001E-10</v>
      </c>
    </row>
    <row r="537" spans="13:16" ht="12.75">
      <c r="M537" s="5">
        <v>7.4E-10</v>
      </c>
      <c r="N537" s="5">
        <v>5.49813051211</v>
      </c>
      <c r="O537" s="5">
        <v>29026.4852295077</v>
      </c>
      <c r="P537">
        <f t="shared" si="44"/>
        <v>-5.887964973894299E-10</v>
      </c>
    </row>
    <row r="538" spans="13:16" ht="12.75">
      <c r="M538" s="5">
        <v>7.3E-10</v>
      </c>
      <c r="N538" s="5">
        <v>3.05008665738</v>
      </c>
      <c r="O538" s="5">
        <v>567.7186377304</v>
      </c>
      <c r="P538">
        <f t="shared" si="44"/>
        <v>-6.038490134006464E-10</v>
      </c>
    </row>
    <row r="539" spans="13:16" ht="12.75">
      <c r="M539" s="5">
        <v>8.4E-10</v>
      </c>
      <c r="N539" s="5">
        <v>0.46604373274</v>
      </c>
      <c r="O539" s="5">
        <v>45.1412196366</v>
      </c>
      <c r="P539">
        <f t="shared" si="44"/>
        <v>4.393674838556728E-10</v>
      </c>
    </row>
    <row r="540" spans="13:16" ht="12.75">
      <c r="M540" s="5">
        <v>9.3E-10</v>
      </c>
      <c r="N540" s="5">
        <v>2.52267536308</v>
      </c>
      <c r="O540" s="5">
        <v>48739.859897083</v>
      </c>
      <c r="P540">
        <f t="shared" si="44"/>
        <v>-5.118726221009635E-10</v>
      </c>
    </row>
    <row r="541" spans="13:16" ht="12.75">
      <c r="M541" s="5">
        <v>7.6E-10</v>
      </c>
      <c r="N541" s="5">
        <v>1.76418124905</v>
      </c>
      <c r="O541" s="5">
        <v>41654.9631159678</v>
      </c>
      <c r="P541">
        <f t="shared" si="44"/>
        <v>-2.7974540752769163E-10</v>
      </c>
    </row>
    <row r="542" spans="13:16" ht="12.75">
      <c r="M542" s="5">
        <v>6.7E-10</v>
      </c>
      <c r="N542" s="5">
        <v>5.77851227793</v>
      </c>
      <c r="O542" s="5">
        <v>6311.5250374592</v>
      </c>
      <c r="P542">
        <f t="shared" si="44"/>
        <v>-1.9937436278472603E-11</v>
      </c>
    </row>
    <row r="543" spans="13:16" ht="12.75">
      <c r="M543" s="5">
        <v>6.2E-10</v>
      </c>
      <c r="N543" s="5">
        <v>3.32967880172</v>
      </c>
      <c r="O543" s="5">
        <v>15508.6151232744</v>
      </c>
      <c r="P543">
        <f t="shared" si="44"/>
        <v>3.3061168247365823E-10</v>
      </c>
    </row>
    <row r="544" spans="13:16" ht="12.75">
      <c r="M544" s="5">
        <v>7.9E-10</v>
      </c>
      <c r="N544" s="5">
        <v>5.59773841328</v>
      </c>
      <c r="O544" s="5">
        <v>71960.3865832236</v>
      </c>
      <c r="P544">
        <f t="shared" si="44"/>
        <v>-7.776665751678203E-10</v>
      </c>
    </row>
    <row r="545" spans="13:16" ht="12.75">
      <c r="M545" s="5">
        <v>5.7E-10</v>
      </c>
      <c r="N545" s="5">
        <v>3.90629505268</v>
      </c>
      <c r="O545" s="5">
        <v>5999.2165311262</v>
      </c>
      <c r="P545">
        <f t="shared" si="44"/>
        <v>-3.2451495891294045E-10</v>
      </c>
    </row>
    <row r="546" spans="13:16" ht="12.75">
      <c r="M546" s="5">
        <v>6.1E-10</v>
      </c>
      <c r="N546" s="5">
        <v>0.05695043232</v>
      </c>
      <c r="O546" s="5">
        <v>7856.89627409019</v>
      </c>
      <c r="P546">
        <f t="shared" si="44"/>
        <v>-4.0152738619647746E-10</v>
      </c>
    </row>
    <row r="547" spans="13:16" ht="12.75">
      <c r="M547" s="5">
        <v>6.1E-10</v>
      </c>
      <c r="N547" s="5">
        <v>5.63297958433</v>
      </c>
      <c r="O547" s="5">
        <v>7863.9425107882</v>
      </c>
      <c r="P547">
        <f t="shared" si="44"/>
        <v>-5.959324562606125E-11</v>
      </c>
    </row>
    <row r="548" spans="13:16" ht="12.75">
      <c r="M548" s="5">
        <v>6.5E-10</v>
      </c>
      <c r="N548" s="5">
        <v>3.72178394016</v>
      </c>
      <c r="O548" s="5">
        <v>12573.2652469836</v>
      </c>
      <c r="P548">
        <f t="shared" si="44"/>
        <v>3.303206575575103E-10</v>
      </c>
    </row>
    <row r="549" spans="13:16" ht="12.75">
      <c r="M549" s="5">
        <v>5.7E-10</v>
      </c>
      <c r="N549" s="5">
        <v>4.18217219541</v>
      </c>
      <c r="O549" s="5">
        <v>26087.9031415742</v>
      </c>
      <c r="P549">
        <f t="shared" si="44"/>
        <v>-3.3201710360385435E-10</v>
      </c>
    </row>
    <row r="550" spans="13:16" ht="12.75">
      <c r="M550" s="5">
        <v>6.6E-10</v>
      </c>
      <c r="N550" s="5">
        <v>3.92262333487</v>
      </c>
      <c r="O550" s="5">
        <v>69853.3520756812</v>
      </c>
      <c r="P550">
        <f t="shared" si="44"/>
        <v>4.089893058266772E-10</v>
      </c>
    </row>
    <row r="551" spans="13:16" ht="12.75">
      <c r="M551" s="5">
        <v>5.3E-10</v>
      </c>
      <c r="N551" s="5">
        <v>5.51119362045</v>
      </c>
      <c r="O551" s="5">
        <v>77710.2483497714</v>
      </c>
      <c r="P551">
        <f t="shared" si="44"/>
        <v>5.8130453506779956E-12</v>
      </c>
    </row>
    <row r="552" spans="13:16" ht="12.75">
      <c r="M552" s="5">
        <v>5.3E-10</v>
      </c>
      <c r="N552" s="5">
        <v>4.88573986961</v>
      </c>
      <c r="O552" s="5">
        <v>77717.2945864694</v>
      </c>
      <c r="P552">
        <f t="shared" si="44"/>
        <v>-2.6699926899220513E-10</v>
      </c>
    </row>
    <row r="553" spans="13:16" ht="12.75">
      <c r="M553" s="5">
        <v>6.2E-10</v>
      </c>
      <c r="N553" s="5">
        <v>2.88876342225</v>
      </c>
      <c r="O553" s="5">
        <v>9411.4646150872</v>
      </c>
      <c r="P553">
        <f t="shared" si="44"/>
        <v>3.7459027681746323E-10</v>
      </c>
    </row>
    <row r="554" spans="13:16" ht="12.75">
      <c r="M554" s="5">
        <v>5.1E-10</v>
      </c>
      <c r="N554" s="5">
        <v>1.12657183874</v>
      </c>
      <c r="O554" s="5">
        <v>82576.9812209952</v>
      </c>
      <c r="P554">
        <f t="shared" si="44"/>
        <v>-4.676591226437391E-10</v>
      </c>
    </row>
    <row r="555" spans="13:16" ht="12.75">
      <c r="M555" s="5">
        <v>4.5E-10</v>
      </c>
      <c r="N555" s="5">
        <v>2.95671076719</v>
      </c>
      <c r="O555" s="5">
        <v>24602.6124348709</v>
      </c>
      <c r="P555">
        <f t="shared" si="44"/>
        <v>-4.2509920558197697E-10</v>
      </c>
    </row>
    <row r="556" spans="13:16" ht="12.75">
      <c r="M556" s="5">
        <v>4E-10</v>
      </c>
      <c r="N556" s="5">
        <v>5.55145719241</v>
      </c>
      <c r="O556" s="5">
        <v>12565.1713789146</v>
      </c>
      <c r="P556">
        <f t="shared" si="44"/>
        <v>-3.7240926893696276E-10</v>
      </c>
    </row>
    <row r="557" spans="13:16" ht="12.75">
      <c r="M557" s="5">
        <v>3.9E-10</v>
      </c>
      <c r="N557" s="5">
        <v>1.20838190039</v>
      </c>
      <c r="O557" s="5">
        <v>18842.1140029733</v>
      </c>
      <c r="P557">
        <f t="shared" si="44"/>
        <v>3.87831700474817E-10</v>
      </c>
    </row>
    <row r="558" spans="13:16" ht="12.75">
      <c r="M558" s="5">
        <v>4.5E-10</v>
      </c>
      <c r="N558" s="5">
        <v>3.18590558749</v>
      </c>
      <c r="O558" s="5">
        <v>45585.1728121874</v>
      </c>
      <c r="P558">
        <f t="shared" si="44"/>
        <v>-3.6838399082151196E-10</v>
      </c>
    </row>
    <row r="559" spans="13:16" ht="12.75">
      <c r="M559" s="5">
        <v>4.9E-10</v>
      </c>
      <c r="N559" s="5">
        <v>2.44790934886</v>
      </c>
      <c r="O559" s="5">
        <v>13613.804277336</v>
      </c>
      <c r="P559">
        <f t="shared" si="44"/>
        <v>4.898462933799858E-10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&amp;CGP of Sun
Enter Universal Time</oddHeader>
    <oddFooter>&amp;CCopyright 2009-2011. Navigation Spreadsheets. All rights reserved.</oddFooter>
  </headerFooter>
  <ignoredErrors>
    <ignoredError sqref="C39:C40 B40" formula="1"/>
    <ignoredError sqref="B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2013-02-10T20:05:46Z</dcterms:modified>
  <cp:category/>
  <cp:version/>
  <cp:contentType/>
  <cp:contentStatus/>
</cp:coreProperties>
</file>