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1200" windowWidth="18400" windowHeight="1118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<sst xmlns="http://schemas.openxmlformats.org/spreadsheetml/2006/main" count="50" uniqueCount="33">
  <si>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Declination</t>
  </si>
  <si>
    <t>AP Latitude</t>
  </si>
  <si>
    <t>LHA</t>
  </si>
  <si>
    <t>Ho</t>
  </si>
  <si>
    <t>Z</t>
  </si>
  <si>
    <t>Hc</t>
  </si>
  <si>
    <t>Sin(Hc)</t>
  </si>
  <si>
    <t>Degrees</t>
  </si>
  <si>
    <t>Minutes</t>
  </si>
  <si>
    <t>Intercept</t>
  </si>
  <si>
    <t>Cos(Z)</t>
  </si>
  <si>
    <t>########</t>
  </si>
  <si>
    <t>Singular?</t>
  </si>
  <si>
    <t>AP Longitude</t>
  </si>
  <si>
    <t>GHA</t>
  </si>
  <si>
    <t>Zn (radians)</t>
  </si>
  <si>
    <t>x_int (')</t>
  </si>
  <si>
    <t>x_int (nm)</t>
  </si>
  <si>
    <t>y_int (nm=')</t>
  </si>
  <si>
    <t>LOP dir1 (deg)</t>
  </si>
  <si>
    <t>LOP dir2 (deg)</t>
  </si>
  <si>
    <t>Directions =</t>
  </si>
  <si>
    <t>LOP properties</t>
  </si>
  <si>
    <t>Longitude</t>
  </si>
  <si>
    <t>Latitude</t>
  </si>
  <si>
    <t>AP latitude:</t>
  </si>
  <si>
    <t>AP longitude:</t>
  </si>
  <si>
    <t>##########</t>
  </si>
  <si>
    <t>#########</t>
  </si>
  <si>
    <t>nm from AP</t>
  </si>
  <si>
    <t>LOP</t>
  </si>
  <si>
    <t>intersects</t>
  </si>
  <si>
    <t>Azimuth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</si>
</sst>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  <numFmt numFmtId="167" formatCode="0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ill="1" applyAlignment="1" applyProtection="1">
      <alignment horizontal="left"/>
      <protection/>
    </xf>
    <xf numFmtId="165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2" fontId="1" fillId="33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1" fontId="0" fillId="33" borderId="0" xfId="0" applyNumberFormat="1" applyFill="1" applyAlignment="1">
      <alignment horizontal="right"/>
    </xf>
    <xf numFmtId="2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2" fillId="34" borderId="10" xfId="0" applyNumberFormat="1" applyFont="1" applyFill="1" applyBorder="1" applyAlignment="1" applyProtection="1">
      <alignment horizontal="left"/>
      <protection locked="0"/>
    </xf>
    <xf numFmtId="164" fontId="0" fillId="34" borderId="10" xfId="0" applyNumberFormat="1" applyFont="1" applyFill="1" applyBorder="1" applyAlignment="1" applyProtection="1">
      <alignment horizontal="left"/>
      <protection locked="0"/>
    </xf>
    <xf numFmtId="12" fontId="0" fillId="35" borderId="10" xfId="0" applyNumberFormat="1" applyFill="1" applyBorder="1" applyAlignment="1">
      <alignment horizontal="left"/>
    </xf>
    <xf numFmtId="166" fontId="2" fillId="36" borderId="10" xfId="0" applyNumberFormat="1" applyFont="1" applyFill="1" applyBorder="1" applyAlignment="1" applyProtection="1">
      <alignment horizontal="left"/>
      <protection/>
    </xf>
    <xf numFmtId="2" fontId="0" fillId="37" borderId="10" xfId="0" applyNumberFormat="1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166" fontId="0" fillId="37" borderId="10" xfId="0" applyNumberFormat="1" applyFill="1" applyBorder="1" applyAlignment="1">
      <alignment horizontal="right"/>
    </xf>
    <xf numFmtId="165" fontId="0" fillId="37" borderId="10" xfId="0" applyNumberFormat="1" applyFill="1" applyBorder="1" applyAlignment="1">
      <alignment horizontal="right"/>
    </xf>
    <xf numFmtId="49" fontId="0" fillId="37" borderId="10" xfId="0" applyNumberFormat="1" applyFill="1" applyBorder="1" applyAlignment="1">
      <alignment horizontal="left"/>
    </xf>
    <xf numFmtId="165" fontId="0" fillId="37" borderId="10" xfId="0" applyNumberFormat="1" applyFont="1" applyFill="1" applyBorder="1" applyAlignment="1">
      <alignment horizontal="left"/>
    </xf>
    <xf numFmtId="165" fontId="0" fillId="35" borderId="10" xfId="0" applyNumberFormat="1" applyFill="1" applyBorder="1" applyAlignment="1">
      <alignment horizontal="right"/>
    </xf>
    <xf numFmtId="49" fontId="0" fillId="35" borderId="10" xfId="0" applyNumberFormat="1" applyFill="1" applyBorder="1" applyAlignment="1">
      <alignment/>
    </xf>
    <xf numFmtId="165" fontId="0" fillId="35" borderId="10" xfId="0" applyNumberFormat="1" applyFont="1" applyFill="1" applyBorder="1" applyAlignment="1">
      <alignment horizontal="left"/>
    </xf>
    <xf numFmtId="2" fontId="0" fillId="37" borderId="10" xfId="0" applyNumberFormat="1" applyFont="1" applyFill="1" applyBorder="1" applyAlignment="1">
      <alignment horizontal="left"/>
    </xf>
    <xf numFmtId="1" fontId="0" fillId="37" borderId="10" xfId="0" applyNumberFormat="1" applyFont="1" applyFill="1" applyBorder="1" applyAlignment="1">
      <alignment horizontal="left"/>
    </xf>
    <xf numFmtId="166" fontId="0" fillId="37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10.25390625" style="0" customWidth="1"/>
    <col min="2" max="2" width="11.875" style="0" customWidth="1"/>
    <col min="4" max="4" width="11.00390625" style="0" customWidth="1"/>
    <col min="5" max="5" width="11.375" style="0" customWidth="1"/>
    <col min="6" max="6" width="12.25390625" style="0" bestFit="1" customWidth="1"/>
  </cols>
  <sheetData>
    <row r="1" spans="1:6" s="1" customFormat="1" ht="12.75">
      <c r="A1" s="1" t="s">
        <v>1</v>
      </c>
      <c r="B1" s="1" t="s">
        <v>13</v>
      </c>
      <c r="C1" s="1" t="s">
        <v>14</v>
      </c>
      <c r="D1" s="1" t="s">
        <v>0</v>
      </c>
      <c r="E1" s="1" t="s">
        <v>3</v>
      </c>
      <c r="F1" s="8" t="s">
        <v>2</v>
      </c>
    </row>
    <row r="2" spans="1:6" ht="12.75">
      <c r="A2" s="27">
        <v>30</v>
      </c>
      <c r="B2" s="27">
        <v>0</v>
      </c>
      <c r="C2" s="27">
        <v>0</v>
      </c>
      <c r="D2" s="27">
        <v>90</v>
      </c>
      <c r="E2" s="28">
        <v>29.95</v>
      </c>
      <c r="F2" s="29">
        <f>TRUNC(E23)</f>
        <v>0</v>
      </c>
    </row>
    <row r="3" spans="1:6" s="10" customFormat="1" ht="12.75">
      <c r="A3" s="30">
        <f>ABS(A2-TRUNC(A2))*60</f>
        <v>0</v>
      </c>
      <c r="B3" s="30">
        <f>ABS(B2-TRUNC(B2))*60</f>
        <v>0</v>
      </c>
      <c r="C3" s="30">
        <f>ABS(C2-TRUNC(C2))*60</f>
        <v>0</v>
      </c>
      <c r="D3" s="30">
        <f>ABS(D2-TRUNC(D2))*60</f>
        <v>0</v>
      </c>
      <c r="E3" s="30">
        <f>ABS(E2-TRUNC(E2))*60</f>
        <v>56.99999999999996</v>
      </c>
      <c r="F3" s="30">
        <f>ABS(E23-F2)*60</f>
        <v>0</v>
      </c>
    </row>
    <row r="4" ht="12.75">
      <c r="E4" s="7">
        <f>IF(C23,"ERROR: Trig out of range (D10, A13)","")</f>
      </c>
    </row>
    <row r="5" spans="1:6" s="2" customFormat="1" ht="12.75">
      <c r="A5" s="2" t="s">
        <v>5</v>
      </c>
      <c r="B5" s="2" t="s">
        <v>7</v>
      </c>
      <c r="C5" s="2" t="s">
        <v>8</v>
      </c>
      <c r="D5" s="2" t="s">
        <v>9</v>
      </c>
      <c r="F5" s="2" t="s">
        <v>32</v>
      </c>
    </row>
    <row r="6" spans="1:6" s="4" customFormat="1" ht="12.75">
      <c r="A6" s="31">
        <f>DEGREES(E20)</f>
        <v>30.000000000000004</v>
      </c>
      <c r="B6" s="32">
        <f>TRUNC(A6)</f>
        <v>30</v>
      </c>
      <c r="C6" s="33">
        <f>ABS((A6-B6)*60)</f>
        <v>2.1316282072803006E-13</v>
      </c>
      <c r="D6" s="34">
        <f>ABS(F20)</f>
        <v>3.000000000000256</v>
      </c>
      <c r="E6" s="35" t="str">
        <f>IF(F20&gt;0,"TOWARD","AWAY")</f>
        <v>AWAY</v>
      </c>
      <c r="F6" s="36">
        <f>IF(F2&gt;180,B23,360-B23)</f>
        <v>360</v>
      </c>
    </row>
    <row r="7" spans="1:6" s="16" customFormat="1" ht="12.75">
      <c r="A7" s="12"/>
      <c r="B7" s="13"/>
      <c r="C7" s="14"/>
      <c r="D7" s="37">
        <f>ABS(F20)</f>
        <v>3.000000000000256</v>
      </c>
      <c r="E7" s="38" t="str">
        <f>IF(F20&gt;0,"AWAY","TOWARD")</f>
        <v>TOWARD</v>
      </c>
      <c r="F7" s="39">
        <f>IF(OR(F6=0,F6=360),180,IF(F6&lt;180,F6+180,F6-180))</f>
        <v>180</v>
      </c>
    </row>
    <row r="9" spans="1:6" s="16" customFormat="1" ht="12.75">
      <c r="A9" s="17" t="s">
        <v>22</v>
      </c>
      <c r="B9" s="19"/>
      <c r="C9" s="18" t="s">
        <v>21</v>
      </c>
      <c r="D9" s="36">
        <f>D29-INT(D29/360)*360</f>
        <v>90</v>
      </c>
      <c r="E9" s="36">
        <f>E29-INT(E29/360)*360</f>
        <v>270</v>
      </c>
      <c r="F9" s="15"/>
    </row>
    <row r="10" spans="1:6" s="16" customFormat="1" ht="12.75">
      <c r="A10" s="20" t="s">
        <v>30</v>
      </c>
      <c r="B10" s="13"/>
      <c r="C10" s="18"/>
      <c r="D10" s="15"/>
      <c r="E10" s="15"/>
      <c r="F10" s="15"/>
    </row>
    <row r="11" spans="1:6" s="16" customFormat="1" ht="12.75">
      <c r="A11" s="20" t="s">
        <v>31</v>
      </c>
      <c r="B11" s="21" t="s">
        <v>25</v>
      </c>
      <c r="C11" s="22" t="s">
        <v>23</v>
      </c>
      <c r="D11" s="23" t="s">
        <v>7</v>
      </c>
      <c r="E11" s="23" t="s">
        <v>8</v>
      </c>
      <c r="F11" s="23" t="s">
        <v>29</v>
      </c>
    </row>
    <row r="12" spans="1:6" s="26" customFormat="1" ht="12.75">
      <c r="A12" s="24"/>
      <c r="B12" s="25"/>
      <c r="C12" s="40">
        <f>IF(F29&gt;180,F29-360,IF(F29&lt;=-180,F29+360,F29))</f>
        <v>235624616296747.3</v>
      </c>
      <c r="D12" s="41">
        <f>TRUNC(C12)</f>
        <v>235624616296747</v>
      </c>
      <c r="E12" s="42">
        <f>ABS((C12-D12)*60)</f>
        <v>18.75</v>
      </c>
      <c r="F12" s="36">
        <f>A29</f>
        <v>12243414208215348</v>
      </c>
    </row>
    <row r="13" spans="1:6" ht="12.75">
      <c r="A13" s="7" t="s">
        <v>30</v>
      </c>
      <c r="F13" s="6"/>
    </row>
    <row r="14" spans="1:6" s="16" customFormat="1" ht="12.75">
      <c r="A14" s="20" t="s">
        <v>31</v>
      </c>
      <c r="B14" s="21" t="s">
        <v>26</v>
      </c>
      <c r="C14" s="22" t="s">
        <v>24</v>
      </c>
      <c r="D14" s="23" t="s">
        <v>7</v>
      </c>
      <c r="E14" s="23" t="s">
        <v>8</v>
      </c>
      <c r="F14" s="23" t="s">
        <v>29</v>
      </c>
    </row>
    <row r="15" spans="1:6" s="26" customFormat="1" ht="12.75">
      <c r="A15" s="24"/>
      <c r="B15" s="25"/>
      <c r="C15" s="40">
        <f>A2+C29/60</f>
        <v>29.949999999999996</v>
      </c>
      <c r="D15" s="41">
        <f>TRUNC(C15)</f>
        <v>29</v>
      </c>
      <c r="E15" s="42">
        <f>ABS((C15-D15)*60)</f>
        <v>56.999999999999744</v>
      </c>
      <c r="F15" s="36">
        <f>C29</f>
        <v>-3.000000000000256</v>
      </c>
    </row>
    <row r="16" ht="12.75">
      <c r="F16" s="6"/>
    </row>
    <row r="17" spans="1:6" ht="12.75">
      <c r="A17" s="5" t="s">
        <v>11</v>
      </c>
      <c r="B17" s="5" t="s">
        <v>27</v>
      </c>
      <c r="C17" s="5" t="s">
        <v>11</v>
      </c>
      <c r="D17" s="5" t="s">
        <v>28</v>
      </c>
      <c r="E17" s="5" t="s">
        <v>28</v>
      </c>
      <c r="F17" s="5" t="s">
        <v>28</v>
      </c>
    </row>
    <row r="19" spans="1:6" ht="12.75">
      <c r="A19" t="s">
        <v>0</v>
      </c>
      <c r="B19" t="s">
        <v>1</v>
      </c>
      <c r="C19" t="s">
        <v>2</v>
      </c>
      <c r="D19" t="s">
        <v>6</v>
      </c>
      <c r="E19" t="s">
        <v>5</v>
      </c>
      <c r="F19" t="s">
        <v>9</v>
      </c>
    </row>
    <row r="20" spans="1:6" s="3" customFormat="1" ht="12.75">
      <c r="A20" s="3">
        <f>RADIANS(D2)</f>
        <v>1.5707963267948966</v>
      </c>
      <c r="B20" s="3">
        <f>RADIANS(A2)</f>
        <v>0.5235987755982988</v>
      </c>
      <c r="C20" s="3">
        <f>RADIANS(E23)</f>
        <v>0</v>
      </c>
      <c r="D20" s="3">
        <f>SIN(A20)*SIN(B20)+COS(A20)*COS(B20)*COS(C20)</f>
        <v>0.5</v>
      </c>
      <c r="E20" s="3">
        <f>ASIN(D20)</f>
        <v>0.5235987755982989</v>
      </c>
      <c r="F20" s="3">
        <f>(E2-A6)*60</f>
        <v>-3.000000000000256</v>
      </c>
    </row>
    <row r="22" spans="1:6" ht="12.75">
      <c r="A22" t="s">
        <v>10</v>
      </c>
      <c r="B22" t="s">
        <v>4</v>
      </c>
      <c r="C22" t="s">
        <v>12</v>
      </c>
      <c r="D22" t="s">
        <v>2</v>
      </c>
      <c r="F22" t="s">
        <v>15</v>
      </c>
    </row>
    <row r="23" spans="1:6" ht="12.75">
      <c r="A23">
        <f>(SIN(A20)-SIN(B20)*D20)/(COS(B20)*COS(E20))</f>
        <v>1</v>
      </c>
      <c r="B23">
        <f>IF(A23&gt;0,B25,B26)</f>
        <v>0</v>
      </c>
      <c r="C23" t="b">
        <f>OR(ABS(D20)&gt;1,ABS(A23)&gt;1)</f>
        <v>0</v>
      </c>
      <c r="D23" s="9">
        <f>C2+B2</f>
        <v>0</v>
      </c>
      <c r="E23" s="9">
        <f>D23-INT(D23/360)*360</f>
        <v>0</v>
      </c>
      <c r="F23">
        <f>RADIANS(F6)</f>
        <v>6.283185307179586</v>
      </c>
    </row>
    <row r="24" ht="12.75">
      <c r="B24">
        <f>ACOS(A23)</f>
        <v>0</v>
      </c>
    </row>
    <row r="25" ht="12.75">
      <c r="B25">
        <f>IF(A23&gt;0.999999,0,DEGREES(B24))</f>
        <v>0</v>
      </c>
    </row>
    <row r="26" ht="12.75">
      <c r="B26">
        <f>IF(A23&lt;-0.999999,180,DEGREES(B24))</f>
        <v>0</v>
      </c>
    </row>
    <row r="28" spans="1:6" ht="12.75">
      <c r="A28" t="s">
        <v>17</v>
      </c>
      <c r="B28" t="s">
        <v>16</v>
      </c>
      <c r="C28" t="s">
        <v>18</v>
      </c>
      <c r="D28" t="s">
        <v>19</v>
      </c>
      <c r="E28" t="s">
        <v>20</v>
      </c>
      <c r="F28" t="s">
        <v>23</v>
      </c>
    </row>
    <row r="29" spans="1:6" ht="12.75">
      <c r="A29">
        <f>F20/SIN(F23)</f>
        <v>12243414208215348</v>
      </c>
      <c r="B29">
        <f>A29/COS(B20)</f>
        <v>14137476977826438</v>
      </c>
      <c r="C29">
        <f>F20/COS(F23)</f>
        <v>-3.000000000000256</v>
      </c>
      <c r="D29" s="11">
        <f>F6+90</f>
        <v>450</v>
      </c>
      <c r="E29" s="11">
        <f>F6-90</f>
        <v>270</v>
      </c>
      <c r="F29" s="3">
        <f>B2+B29/60</f>
        <v>235624616297107.3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&amp;CLOP properties from the assumed position and Ho
based on the intercept method of Marcq St. Hilaire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2009-04-22T00:03:39Z</dcterms:created>
  <dcterms:modified xsi:type="dcterms:W3CDTF">2013-03-10T19:19:23Z</dcterms:modified>
  <cp:category/>
  <cp:version/>
  <cp:contentType/>
  <cp:contentStatus/>
</cp:coreProperties>
</file>