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1160" windowWidth="18020" windowHeight="8320" tabRatio="645" activeTab="0"/>
  </bookViews>
  <sheets>
    <sheet name="Main" sheetId="1" r:id="rId1"/>
  </sheets>
  <definedNames>
    <definedName name="Earth_B0" localSheetId="0">'Main'!$AQ$1:$AS$184</definedName>
    <definedName name="Earth_B1" localSheetId="0">'Main'!$AV$1:$AX$99</definedName>
    <definedName name="Earth_B2" localSheetId="0">'Main'!$BA$1:$BC$49</definedName>
    <definedName name="Earth_B3" localSheetId="0">'Main'!$BF$1:$BH$11</definedName>
    <definedName name="Earth_B4" localSheetId="0">'Main'!$BK$1:$BM$5</definedName>
    <definedName name="Earth_L0" localSheetId="0">'Main'!$M$1:$O$559</definedName>
    <definedName name="Earth_L1" localSheetId="0">'Main'!$R$1:$T$341</definedName>
    <definedName name="Earth_L2" localSheetId="0">'Main'!$W$1:$Y$142</definedName>
    <definedName name="Earth_L3" localSheetId="0">'Main'!$AB$1:$AD$22</definedName>
    <definedName name="Earth_L4" localSheetId="0">'Main'!$AG$1:$AI$11</definedName>
    <definedName name="Earth_L5" localSheetId="0">'Main'!$AL$1:$AN$5</definedName>
    <definedName name="Earth_R0" localSheetId="0">'Main'!$BP$1:$BR$526</definedName>
    <definedName name="Earth_R1" localSheetId="0">'Main'!$BU$1:$BW$292</definedName>
    <definedName name="Earth_R2" localSheetId="0">'Main'!$BZ$1:$CB$139</definedName>
    <definedName name="Earth_R3" localSheetId="0">'Main'!$CE$1:$CG$27</definedName>
    <definedName name="Earth_R4" localSheetId="0">'Main'!$CJ$1:$CL$10</definedName>
    <definedName name="Earth_R5" localSheetId="0">'Main'!$CO$1:$CQ$3</definedName>
  </definedNames>
  <calcPr fullCalcOnLoad="1"/>
</workbook>
</file>

<file path=xl/sharedStrings.xml><?xml version="1.0" encoding="utf-8"?>
<sst xmlns="http://schemas.openxmlformats.org/spreadsheetml/2006/main" count="201" uniqueCount="131">
  <si>
    <t>Year</t>
  </si>
  <si>
    <t>Month</t>
  </si>
  <si>
    <t>Day</t>
  </si>
  <si>
    <t>Hours</t>
  </si>
  <si>
    <t>Minutes</t>
  </si>
  <si>
    <t>Seconds</t>
  </si>
  <si>
    <t>GHA</t>
  </si>
  <si>
    <t>Degrees</t>
  </si>
  <si>
    <t>Declination</t>
  </si>
  <si>
    <t>#########</t>
  </si>
  <si>
    <t>Day Fraction</t>
  </si>
  <si>
    <t>a</t>
  </si>
  <si>
    <t>b</t>
  </si>
  <si>
    <t>JDE</t>
  </si>
  <si>
    <t>JD</t>
  </si>
  <si>
    <t>Delta T</t>
  </si>
  <si>
    <t>DayF+DeltaT</t>
  </si>
  <si>
    <t>TAU</t>
  </si>
  <si>
    <t>T</t>
  </si>
  <si>
    <t>l0</t>
  </si>
  <si>
    <t>lp</t>
  </si>
  <si>
    <t>om</t>
  </si>
  <si>
    <t>dp</t>
  </si>
  <si>
    <t>NutPSI Deg</t>
  </si>
  <si>
    <t>NutPSI Rad</t>
  </si>
  <si>
    <t>de</t>
  </si>
  <si>
    <t>NutEPS Deg</t>
  </si>
  <si>
    <t>Eps0 Rad</t>
  </si>
  <si>
    <t>Eps Rad</t>
  </si>
  <si>
    <t>Deps</t>
  </si>
  <si>
    <t>g</t>
  </si>
  <si>
    <t>GAST Deg</t>
  </si>
  <si>
    <t>Earth</t>
  </si>
  <si>
    <t>Ear_L0</t>
  </si>
  <si>
    <t>Ear_L1</t>
  </si>
  <si>
    <t>Ear_L2</t>
  </si>
  <si>
    <t>Ear_L3</t>
  </si>
  <si>
    <t>Ear_L4</t>
  </si>
  <si>
    <t>Ear_L5</t>
  </si>
  <si>
    <t>Ear_B0</t>
  </si>
  <si>
    <t>Ear_B1</t>
  </si>
  <si>
    <t>Ear_B2</t>
  </si>
  <si>
    <t>Ear_B3</t>
  </si>
  <si>
    <t>Ear_B4</t>
  </si>
  <si>
    <t>Ear_B5</t>
  </si>
  <si>
    <t>Ear_R0</t>
  </si>
  <si>
    <t>Ear_R1</t>
  </si>
  <si>
    <t>Ear_R2</t>
  </si>
  <si>
    <t>Ear_R3</t>
  </si>
  <si>
    <t>Ear_R4</t>
  </si>
  <si>
    <t>Ear_R5</t>
  </si>
  <si>
    <t>Ear_R</t>
  </si>
  <si>
    <t>Ear_L_Rad</t>
  </si>
  <si>
    <t>Ear_L_Deg</t>
  </si>
  <si>
    <t>Ear_B_Rad</t>
  </si>
  <si>
    <t>Ear_B_Deg</t>
  </si>
  <si>
    <t>Sun</t>
  </si>
  <si>
    <t>Sun_L_Rad</t>
  </si>
  <si>
    <t>Sun_L_Deg</t>
  </si>
  <si>
    <t>Aberration</t>
  </si>
  <si>
    <t>exc</t>
  </si>
  <si>
    <t>p deg</t>
  </si>
  <si>
    <t>p deg 0-360</t>
  </si>
  <si>
    <t>p rad</t>
  </si>
  <si>
    <t>dl rad</t>
  </si>
  <si>
    <t>db rad</t>
  </si>
  <si>
    <t>NutEPS Rad</t>
  </si>
  <si>
    <t>Longitude</t>
  </si>
  <si>
    <t>Latitude</t>
  </si>
  <si>
    <t>Equatorial</t>
  </si>
  <si>
    <t>Coordinates</t>
  </si>
  <si>
    <t>Sun_Lambda</t>
  </si>
  <si>
    <t>Sun_Beta</t>
  </si>
  <si>
    <t>Alpha</t>
  </si>
  <si>
    <t>Delta</t>
  </si>
  <si>
    <t>SD_arcmin</t>
  </si>
  <si>
    <t>Eq of Time</t>
  </si>
  <si>
    <t>eot_deg</t>
  </si>
  <si>
    <t>l0 0-360</t>
  </si>
  <si>
    <t>SD</t>
  </si>
  <si>
    <t>Earth_L0</t>
  </si>
  <si>
    <t>Earth_L1</t>
  </si>
  <si>
    <t>Earth_L2</t>
  </si>
  <si>
    <t>Earth_L3</t>
  </si>
  <si>
    <t>Earth_L4</t>
  </si>
  <si>
    <t>Earth_L5</t>
  </si>
  <si>
    <t>Earth_B0</t>
  </si>
  <si>
    <t>Earth_B1</t>
  </si>
  <si>
    <t>Earth_B2</t>
  </si>
  <si>
    <t>Earth_B3</t>
  </si>
  <si>
    <t>Earth_B4</t>
  </si>
  <si>
    <t>Earth_R0</t>
  </si>
  <si>
    <t>Earth_R1</t>
  </si>
  <si>
    <t>Earth_R2</t>
  </si>
  <si>
    <t>Earth_R3</t>
  </si>
  <si>
    <t>Earth_R4</t>
  </si>
  <si>
    <t>Earth_R5</t>
  </si>
  <si>
    <t>u =</t>
  </si>
  <si>
    <t>dT =</t>
  </si>
  <si>
    <t>2150 &lt; Year</t>
  </si>
  <si>
    <t>Year &lt;= 500</t>
  </si>
  <si>
    <t>Y =</t>
  </si>
  <si>
    <t>Year &lt;= 1600</t>
  </si>
  <si>
    <t>Year &lt;= 1700</t>
  </si>
  <si>
    <t>t =</t>
  </si>
  <si>
    <t>Year &lt;= 1800</t>
  </si>
  <si>
    <t>Year &lt;= 1860</t>
  </si>
  <si>
    <t>1860 &lt; Year</t>
  </si>
  <si>
    <t>Year &lt;= 1900</t>
  </si>
  <si>
    <t>Year &lt;= 1920</t>
  </si>
  <si>
    <t>Year &lt;= 1941</t>
  </si>
  <si>
    <t>Year &lt;= 1961</t>
  </si>
  <si>
    <t>Year &lt;= 1986</t>
  </si>
  <si>
    <t>Year &lt;= 2005</t>
  </si>
  <si>
    <t>Year &lt;= 2050</t>
  </si>
  <si>
    <t>Year &lt;= 2150</t>
  </si>
  <si>
    <t>Year &lt;= -500</t>
  </si>
  <si>
    <t>-500 &lt; Year</t>
  </si>
  <si>
    <t>500 &lt; Year</t>
  </si>
  <si>
    <t>1600 &lt; Year</t>
  </si>
  <si>
    <t>1700 &lt; Year</t>
  </si>
  <si>
    <t>1800 &lt; Year</t>
  </si>
  <si>
    <t>1900 &lt; Year</t>
  </si>
  <si>
    <t>1920 &lt; Year</t>
  </si>
  <si>
    <t>1941 &lt; Year</t>
  </si>
  <si>
    <t>1961 &lt; Year</t>
  </si>
  <si>
    <t>1986 &lt; Year</t>
  </si>
  <si>
    <t>2005 &lt; Year</t>
  </si>
  <si>
    <t>2050 &lt; Year</t>
  </si>
  <si>
    <t>EoT minutes</t>
  </si>
  <si>
    <t>eot_minutes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</si>
</sst>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165" fontId="2" fillId="33" borderId="10" xfId="0" applyNumberFormat="1" applyFont="1" applyFill="1" applyBorder="1" applyAlignment="1" applyProtection="1">
      <alignment horizontal="left"/>
      <protection locked="0"/>
    </xf>
    <xf numFmtId="1" fontId="0" fillId="34" borderId="10" xfId="0" applyNumberFormat="1" applyFill="1" applyBorder="1" applyAlignment="1">
      <alignment horizontal="left"/>
    </xf>
    <xf numFmtId="166" fontId="0" fillId="34" borderId="10" xfId="0" applyNumberForma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right"/>
    </xf>
    <xf numFmtId="165" fontId="0" fillId="34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559"/>
  <sheetViews>
    <sheetView tabSelected="1" zoomScale="150" zoomScaleNormal="150" workbookViewId="0" topLeftCell="A1">
      <selection activeCell="A2" sqref="A2"/>
    </sheetView>
  </sheetViews>
  <sheetFormatPr defaultColWidth="11.00390625" defaultRowHeight="12.75"/>
  <cols>
    <col min="1" max="1" width="11.375" style="0" customWidth="1"/>
    <col min="2" max="2" width="10.875" style="0" customWidth="1"/>
    <col min="3" max="3" width="10.125" style="0" customWidth="1"/>
    <col min="4" max="4" width="10.375" style="0" customWidth="1"/>
    <col min="5" max="6" width="10.875" style="0" customWidth="1"/>
    <col min="13" max="15" width="12.00390625" style="5" customWidth="1"/>
    <col min="18" max="20" width="12.00390625" style="5" customWidth="1"/>
    <col min="21" max="21" width="10.875" style="0" customWidth="1"/>
    <col min="23" max="25" width="12.00390625" style="5" customWidth="1"/>
    <col min="28" max="30" width="12.00390625" style="5" customWidth="1"/>
    <col min="31" max="31" width="12.75390625" style="0" bestFit="1" customWidth="1"/>
    <col min="33" max="35" width="12.00390625" style="5" customWidth="1"/>
    <col min="36" max="36" width="12.75390625" style="0" bestFit="1" customWidth="1"/>
    <col min="38" max="38" width="9.00390625" style="5" customWidth="1"/>
    <col min="39" max="40" width="12.00390625" style="5" customWidth="1"/>
    <col min="43" max="45" width="12.00390625" style="5" customWidth="1"/>
    <col min="46" max="46" width="12.75390625" style="0" bestFit="1" customWidth="1"/>
    <col min="48" max="50" width="12.00390625" style="5" customWidth="1"/>
    <col min="51" max="51" width="11.00390625" style="0" bestFit="1" customWidth="1"/>
    <col min="53" max="53" width="10.00390625" style="5" customWidth="1"/>
    <col min="54" max="55" width="12.00390625" style="5" customWidth="1"/>
    <col min="56" max="56" width="12.00390625" style="0" bestFit="1" customWidth="1"/>
    <col min="58" max="58" width="8.00390625" style="5" customWidth="1"/>
    <col min="59" max="60" width="12.00390625" style="5" customWidth="1"/>
    <col min="61" max="61" width="12.00390625" style="0" bestFit="1" customWidth="1"/>
    <col min="63" max="63" width="6.00390625" style="5" customWidth="1"/>
    <col min="64" max="65" width="12.00390625" style="5" customWidth="1"/>
    <col min="66" max="66" width="12.00390625" style="0" bestFit="1" customWidth="1"/>
    <col min="68" max="70" width="12.00390625" style="5" customWidth="1"/>
    <col min="73" max="75" width="12.00390625" style="5" customWidth="1"/>
    <col min="78" max="80" width="12.00390625" style="5" customWidth="1"/>
    <col min="83" max="85" width="12.00390625" style="5" customWidth="1"/>
    <col min="86" max="86" width="11.00390625" style="0" bestFit="1" customWidth="1"/>
    <col min="88" max="88" width="10.00390625" style="5" customWidth="1"/>
    <col min="89" max="90" width="12.00390625" style="5" customWidth="1"/>
    <col min="91" max="91" width="12.00390625" style="0" bestFit="1" customWidth="1"/>
    <col min="93" max="93" width="8.00390625" style="5" customWidth="1"/>
    <col min="94" max="95" width="12.00390625" style="5" customWidth="1"/>
    <col min="96" max="96" width="12.75390625" style="0" bestFit="1" customWidth="1"/>
  </cols>
  <sheetData>
    <row r="1" spans="1:9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J1" t="s">
        <v>15</v>
      </c>
      <c r="L1" t="s">
        <v>80</v>
      </c>
      <c r="M1" s="5">
        <v>1.75347045673</v>
      </c>
      <c r="N1" s="5">
        <v>0</v>
      </c>
      <c r="O1" s="5">
        <v>0</v>
      </c>
      <c r="P1">
        <f>M1*COS(N1+O1*$E$16)</f>
        <v>1.75347045673</v>
      </c>
      <c r="Q1" t="s">
        <v>81</v>
      </c>
      <c r="R1" s="5">
        <v>6283.31966747491</v>
      </c>
      <c r="S1" s="5">
        <v>0</v>
      </c>
      <c r="T1" s="5">
        <v>0</v>
      </c>
      <c r="U1">
        <f>R1*COS(S1+T1*$E$16)</f>
        <v>6283.31966747491</v>
      </c>
      <c r="V1" t="s">
        <v>82</v>
      </c>
      <c r="W1" s="5">
        <v>0.0005291887</v>
      </c>
      <c r="X1" s="5">
        <v>0</v>
      </c>
      <c r="Y1" s="5">
        <v>0</v>
      </c>
      <c r="Z1">
        <f>W1*COS(X1+Y1*$E$16)</f>
        <v>0.0005291887</v>
      </c>
      <c r="AA1" t="s">
        <v>83</v>
      </c>
      <c r="AB1" s="5">
        <v>2.89226E-06</v>
      </c>
      <c r="AC1" s="5">
        <v>5.84384198723</v>
      </c>
      <c r="AD1" s="5">
        <v>6283.0758499914</v>
      </c>
      <c r="AE1">
        <f>AB1*COS(AC1+AD1*$E$16)</f>
        <v>-9.775447977599462E-07</v>
      </c>
      <c r="AF1" t="s">
        <v>84</v>
      </c>
      <c r="AG1" s="5">
        <v>1.14084E-06</v>
      </c>
      <c r="AH1" s="5">
        <v>3.14159265359</v>
      </c>
      <c r="AI1" s="5">
        <v>0</v>
      </c>
      <c r="AJ1">
        <f>AG1*COS(AH1+AI1*$E$16)</f>
        <v>-1.14084E-06</v>
      </c>
      <c r="AK1" t="s">
        <v>85</v>
      </c>
      <c r="AL1" s="5">
        <v>8.78E-09</v>
      </c>
      <c r="AM1" s="5">
        <v>3.14159265359</v>
      </c>
      <c r="AN1" s="5">
        <v>0</v>
      </c>
      <c r="AO1">
        <f>AL1*COS(AM1+AN1*$E$16)</f>
        <v>-8.78E-09</v>
      </c>
      <c r="AP1" t="s">
        <v>86</v>
      </c>
      <c r="AQ1" s="5">
        <v>2.7962E-06</v>
      </c>
      <c r="AR1" s="5">
        <v>3.19870156017</v>
      </c>
      <c r="AS1" s="5">
        <v>84334.6615813082</v>
      </c>
      <c r="AT1">
        <f>AQ1*COS(AR1+AS1*$E$16)</f>
        <v>2.7382527869930027E-06</v>
      </c>
      <c r="AU1" t="s">
        <v>87</v>
      </c>
      <c r="AV1" s="5">
        <v>9.03E-08</v>
      </c>
      <c r="AW1" s="5">
        <v>3.8972906189</v>
      </c>
      <c r="AX1" s="5">
        <v>5507.5532386674</v>
      </c>
      <c r="AY1">
        <f>AV1*COS(AW1+AX1*$E$16)</f>
        <v>-5.038622371546604E-08</v>
      </c>
      <c r="AZ1" t="s">
        <v>88</v>
      </c>
      <c r="BA1" s="5">
        <v>1.662E-08</v>
      </c>
      <c r="BB1" s="5">
        <v>1.62703209173</v>
      </c>
      <c r="BC1" s="5">
        <v>84334.6615813082</v>
      </c>
      <c r="BD1">
        <f>BA1*COS(BB1+BC1*$E$16)</f>
        <v>3.351805636127964E-09</v>
      </c>
      <c r="BE1" t="s">
        <v>89</v>
      </c>
      <c r="BF1" s="5">
        <v>1.1E-10</v>
      </c>
      <c r="BG1" s="5">
        <v>0.23877262399</v>
      </c>
      <c r="BH1" s="5">
        <v>7860.4193924392</v>
      </c>
      <c r="BI1">
        <f>BF1*COS(BG1+BH1*$E$16)</f>
        <v>1.4124556022085013E-11</v>
      </c>
      <c r="BJ1" t="s">
        <v>90</v>
      </c>
      <c r="BK1" s="5">
        <v>4E-11</v>
      </c>
      <c r="BL1" s="5">
        <v>0.79662198849</v>
      </c>
      <c r="BM1" s="5">
        <v>6438.4962494256</v>
      </c>
      <c r="BN1">
        <f>BK1*COS(BL1+BM1*$E$16)</f>
        <v>1.9802325806586833E-11</v>
      </c>
      <c r="BO1" t="s">
        <v>91</v>
      </c>
      <c r="BP1" s="5">
        <v>1.00013988799</v>
      </c>
      <c r="BQ1" s="5">
        <v>0</v>
      </c>
      <c r="BR1" s="5">
        <v>0</v>
      </c>
      <c r="BS1">
        <f>BP1*COS(BQ1+BR1*$E$16)</f>
        <v>1.00013988799</v>
      </c>
      <c r="BT1" t="s">
        <v>92</v>
      </c>
      <c r="BU1" s="5">
        <v>0.00103018608</v>
      </c>
      <c r="BV1" s="5">
        <v>1.10748969588</v>
      </c>
      <c r="BW1" s="5">
        <v>6283.0758499914</v>
      </c>
      <c r="BX1">
        <f>BU1*COS(BV1+BW1*$E$16)</f>
        <v>-0.0009776252159307494</v>
      </c>
      <c r="BY1" t="s">
        <v>93</v>
      </c>
      <c r="BZ1" s="5">
        <v>4.359385E-05</v>
      </c>
      <c r="CA1" s="5">
        <v>5.78455133738</v>
      </c>
      <c r="CB1" s="5">
        <v>6283.0758499914</v>
      </c>
      <c r="CC1">
        <f>BZ1*COS(CA1+CB1*$E$16)</f>
        <v>-1.2277066636081567E-05</v>
      </c>
      <c r="CD1" t="s">
        <v>94</v>
      </c>
      <c r="CE1" s="5">
        <v>1.44595E-06</v>
      </c>
      <c r="CF1" s="5">
        <v>4.27319435148</v>
      </c>
      <c r="CG1" s="5">
        <v>6283.0758499914</v>
      </c>
      <c r="CH1">
        <f>CE1*COS(CF1+CG1*$E$16)</f>
        <v>1.3607845522948886E-06</v>
      </c>
      <c r="CI1" t="s">
        <v>95</v>
      </c>
      <c r="CJ1" s="5">
        <v>3.858E-08</v>
      </c>
      <c r="CK1" s="5">
        <v>2.56384387339</v>
      </c>
      <c r="CL1" s="5">
        <v>6283.0758499914</v>
      </c>
      <c r="CM1">
        <f>CJ1*COS(CK1+CL1*$E$16)</f>
        <v>7.905406754505125E-09</v>
      </c>
      <c r="CN1" t="s">
        <v>96</v>
      </c>
      <c r="CO1" s="5">
        <v>8.6E-10</v>
      </c>
      <c r="CP1" s="5">
        <v>1.21579741687</v>
      </c>
      <c r="CQ1" s="5">
        <v>6283.0758499914</v>
      </c>
      <c r="CR1">
        <f>CO1*COS(CP1+CQ1*$E$16)</f>
        <v>-7.82025347602003E-10</v>
      </c>
    </row>
    <row r="2" spans="1:96" ht="12.75">
      <c r="A2" s="16">
        <v>2013</v>
      </c>
      <c r="B2" s="17">
        <v>5</v>
      </c>
      <c r="C2" s="17">
        <v>17</v>
      </c>
      <c r="D2" s="17">
        <v>17</v>
      </c>
      <c r="E2" s="17">
        <v>29</v>
      </c>
      <c r="F2" s="17">
        <v>25</v>
      </c>
      <c r="M2" s="5">
        <v>0.03341656456</v>
      </c>
      <c r="N2" s="5">
        <v>4.66925680417</v>
      </c>
      <c r="O2" s="5">
        <v>6283.0758499914</v>
      </c>
      <c r="P2">
        <f aca="true" t="shared" si="0" ref="P2:P65">M2*COS(N2+O2*$E$16)</f>
        <v>0.024654812699232604</v>
      </c>
      <c r="R2" s="5">
        <v>0.00206058863</v>
      </c>
      <c r="S2" s="5">
        <v>2.67823455584</v>
      </c>
      <c r="T2" s="5">
        <v>6283.0758499914</v>
      </c>
      <c r="U2">
        <f aca="true" t="shared" si="1" ref="U2:U65">R2*COS(S2+T2*$E$16)</f>
        <v>0.0006496823155056257</v>
      </c>
      <c r="W2" s="5">
        <v>8.719837E-05</v>
      </c>
      <c r="X2" s="5">
        <v>1.07209665242</v>
      </c>
      <c r="Y2" s="5">
        <v>6283.0758499914</v>
      </c>
      <c r="Z2">
        <f aca="true" t="shared" si="2" ref="Z2:Z65">W2*COS(X2+Y2*$E$16)</f>
        <v>-8.367062010744199E-05</v>
      </c>
      <c r="AB2" s="5">
        <v>3.4955E-07</v>
      </c>
      <c r="AC2" s="5">
        <v>0</v>
      </c>
      <c r="AD2" s="5">
        <v>0</v>
      </c>
      <c r="AE2">
        <f aca="true" t="shared" si="3" ref="AE2:AE22">AB2*COS(AC2+AD2*$E$16)</f>
        <v>3.4955E-07</v>
      </c>
      <c r="AG2" s="5">
        <v>7.717E-08</v>
      </c>
      <c r="AH2" s="5">
        <v>4.13446589358</v>
      </c>
      <c r="AI2" s="5">
        <v>6283.0758499914</v>
      </c>
      <c r="AJ2">
        <f aca="true" t="shared" si="4" ref="AJ2:AJ11">AG2*COS(AH2+AI2*$E$16)</f>
        <v>7.553527976429874E-08</v>
      </c>
      <c r="AL2" s="5">
        <v>1.72E-09</v>
      </c>
      <c r="AM2" s="5">
        <v>2.7657906951</v>
      </c>
      <c r="AN2" s="5">
        <v>6283.0758499914</v>
      </c>
      <c r="AO2">
        <f>AL2*COS(AM2+AN2*$E$16)</f>
        <v>6.82953839311204E-10</v>
      </c>
      <c r="AQ2" s="5">
        <v>1.01643E-06</v>
      </c>
      <c r="AR2" s="5">
        <v>5.42248619256</v>
      </c>
      <c r="AS2" s="5">
        <v>5507.5532386674</v>
      </c>
      <c r="AT2">
        <f aca="true" t="shared" si="5" ref="AT2:AT65">AQ2*COS(AR2+AS2*$E$16)</f>
        <v>-8.684610268653333E-07</v>
      </c>
      <c r="AV2" s="5">
        <v>6.177E-08</v>
      </c>
      <c r="AW2" s="5">
        <v>1.73038850355</v>
      </c>
      <c r="AX2" s="5">
        <v>5223.6939198022</v>
      </c>
      <c r="AY2">
        <f aca="true" t="shared" si="6" ref="AY2:AY65">AV2*COS(AW2+AX2*$E$16)</f>
        <v>-4.882878800882011E-08</v>
      </c>
      <c r="BA2" s="5">
        <v>4.92E-09</v>
      </c>
      <c r="BB2" s="5">
        <v>2.41382223971</v>
      </c>
      <c r="BC2" s="5">
        <v>1047.7473117547</v>
      </c>
      <c r="BD2">
        <f aca="true" t="shared" si="7" ref="BD2:BD49">BA2*COS(BB2+BC2*$E$16)</f>
        <v>-3.7004725749241766E-09</v>
      </c>
      <c r="BF2" s="5">
        <v>9E-11</v>
      </c>
      <c r="BG2" s="5">
        <v>1.16069982609</v>
      </c>
      <c r="BH2" s="5">
        <v>5507.5532386674</v>
      </c>
      <c r="BI2">
        <f aca="true" t="shared" si="8" ref="BI2:BI11">BF2*COS(BG2+BH2*$E$16)</f>
        <v>7.55842075436583E-11</v>
      </c>
      <c r="BK2" s="5">
        <v>5E-11</v>
      </c>
      <c r="BL2" s="5">
        <v>0.84308705203</v>
      </c>
      <c r="BM2" s="5">
        <v>1047.7473117547</v>
      </c>
      <c r="BN2">
        <f>BK2*COS(BL2+BM2*$E$16)</f>
        <v>-3.295311899158165E-11</v>
      </c>
      <c r="BP2" s="5">
        <v>0.01670699626</v>
      </c>
      <c r="BQ2" s="5">
        <v>3.09846350771</v>
      </c>
      <c r="BR2" s="5">
        <v>6283.0758499914</v>
      </c>
      <c r="BS2">
        <f aca="true" t="shared" si="9" ref="BS2:BS65">BP2*COS(BQ2+BR2*$E$16)</f>
        <v>0.011277544569241085</v>
      </c>
      <c r="BU2" s="5">
        <v>1.721238E-05</v>
      </c>
      <c r="BV2" s="5">
        <v>1.06442301418</v>
      </c>
      <c r="BW2" s="5">
        <v>12566.1516999828</v>
      </c>
      <c r="BX2">
        <f aca="true" t="shared" si="10" ref="BX2:BX65">BU2*COS(BV2+BW2*$E$16)</f>
        <v>1.5030995045306664E-05</v>
      </c>
      <c r="BZ2" s="5">
        <v>1.23633E-06</v>
      </c>
      <c r="CA2" s="5">
        <v>5.57934722157</v>
      </c>
      <c r="CB2" s="5">
        <v>12566.1516999828</v>
      </c>
      <c r="CC2">
        <f aca="true" t="shared" si="11" ref="CC2:CC65">BZ2*COS(CA2+CB2*$E$16)</f>
        <v>-8.024959094921308E-07</v>
      </c>
      <c r="CE2" s="5">
        <v>6.729E-08</v>
      </c>
      <c r="CF2" s="5">
        <v>3.91697608662</v>
      </c>
      <c r="CG2" s="5">
        <v>12566.1516999828</v>
      </c>
      <c r="CH2">
        <f aca="true" t="shared" si="12" ref="CH2:CH27">CE2*COS(CF2+CG2*$E$16)</f>
        <v>-4.6979323159164334E-08</v>
      </c>
      <c r="CJ2" s="5">
        <v>3.06E-09</v>
      </c>
      <c r="CK2" s="5">
        <v>2.2676950123</v>
      </c>
      <c r="CL2" s="5">
        <v>12566.1516999828</v>
      </c>
      <c r="CM2">
        <f aca="true" t="shared" si="13" ref="CM2:CM10">CJ2*COS(CK2+CL2*$E$16)</f>
        <v>2.351532605199946E-09</v>
      </c>
      <c r="CO2" s="5">
        <v>1.2E-10</v>
      </c>
      <c r="CP2" s="5">
        <v>0.65617264033</v>
      </c>
      <c r="CQ2" s="5">
        <v>12566.1516999828</v>
      </c>
      <c r="CR2">
        <f>CO2*COS(CP2+CQ2*$E$16)</f>
        <v>7.296735553309821E-11</v>
      </c>
    </row>
    <row r="3" spans="10:96" ht="12.75">
      <c r="J3" t="s">
        <v>101</v>
      </c>
      <c r="K3">
        <f>A2+(B2-0.5)/12</f>
        <v>2013.375</v>
      </c>
      <c r="M3" s="5">
        <v>0.00034894275</v>
      </c>
      <c r="N3" s="5">
        <v>4.62610241759</v>
      </c>
      <c r="O3" s="5">
        <v>12566.1516999828</v>
      </c>
      <c r="P3">
        <f t="shared" si="0"/>
        <v>-0.00034756654134757457</v>
      </c>
      <c r="R3" s="5">
        <v>4.30343E-05</v>
      </c>
      <c r="S3" s="5">
        <v>2.63512650414</v>
      </c>
      <c r="T3" s="5">
        <v>12566.1516999828</v>
      </c>
      <c r="U3">
        <f t="shared" si="1"/>
        <v>2.097164392125615E-05</v>
      </c>
      <c r="W3" s="5">
        <v>3.09125E-06</v>
      </c>
      <c r="X3" s="5">
        <v>0.86728818832</v>
      </c>
      <c r="Y3" s="5">
        <v>12566.1516999828</v>
      </c>
      <c r="Z3">
        <f t="shared" si="2"/>
        <v>2.3521979145496816E-06</v>
      </c>
      <c r="AB3" s="5">
        <v>1.6819E-07</v>
      </c>
      <c r="AC3" s="5">
        <v>5.48766912348</v>
      </c>
      <c r="AD3" s="5">
        <v>12566.1516999828</v>
      </c>
      <c r="AE3">
        <f t="shared" si="3"/>
        <v>-1.204260405937807E-07</v>
      </c>
      <c r="AG3" s="5">
        <v>7.65E-09</v>
      </c>
      <c r="AH3" s="5">
        <v>3.83803776214</v>
      </c>
      <c r="AI3" s="5">
        <v>12566.1516999828</v>
      </c>
      <c r="AJ3">
        <f t="shared" si="4"/>
        <v>-4.892416245827683E-09</v>
      </c>
      <c r="AL3" s="5">
        <v>5E-10</v>
      </c>
      <c r="AM3" s="5">
        <v>2.01353298182</v>
      </c>
      <c r="AN3" s="5">
        <v>155.4203994342</v>
      </c>
      <c r="AO3">
        <f>AL3*COS(AM3+AN3*$E$16)</f>
        <v>-2.905597213385277E-10</v>
      </c>
      <c r="AQ3" s="5">
        <v>8.0445E-07</v>
      </c>
      <c r="AR3" s="5">
        <v>3.88013204458</v>
      </c>
      <c r="AS3" s="5">
        <v>5223.6939198022</v>
      </c>
      <c r="AT3">
        <f t="shared" si="5"/>
        <v>-6.447554316688463E-08</v>
      </c>
      <c r="AV3" s="5">
        <v>3.8E-08</v>
      </c>
      <c r="AW3" s="5">
        <v>5.24404145734</v>
      </c>
      <c r="AX3" s="5">
        <v>2352.8661537718</v>
      </c>
      <c r="AY3">
        <f t="shared" si="6"/>
        <v>2.0995624181504173E-08</v>
      </c>
      <c r="BA3" s="5">
        <v>3.44E-09</v>
      </c>
      <c r="BB3" s="5">
        <v>2.24353004539</v>
      </c>
      <c r="BC3" s="5">
        <v>5507.5532386674</v>
      </c>
      <c r="BD3">
        <f t="shared" si="7"/>
        <v>3.0039293326824467E-09</v>
      </c>
      <c r="BF3" s="5">
        <v>8E-11</v>
      </c>
      <c r="BG3" s="5">
        <v>1.65357552925</v>
      </c>
      <c r="BH3" s="5">
        <v>5884.9268465832</v>
      </c>
      <c r="BI3">
        <f t="shared" si="8"/>
        <v>2.0104800935377315E-11</v>
      </c>
      <c r="BK3" s="5">
        <v>5E-11</v>
      </c>
      <c r="BL3" s="5">
        <v>0.05711572303</v>
      </c>
      <c r="BM3" s="5">
        <v>84334.6615813082</v>
      </c>
      <c r="BN3">
        <f>BK3*COS(BL3+BM3*$E$16)</f>
        <v>-4.896375307043879E-11</v>
      </c>
      <c r="BP3" s="5">
        <v>0.00013956023</v>
      </c>
      <c r="BQ3" s="5">
        <v>3.0552460962</v>
      </c>
      <c r="BR3" s="5">
        <v>12566.1516999828</v>
      </c>
      <c r="BS3">
        <f t="shared" si="9"/>
        <v>1.2390975519569238E-05</v>
      </c>
      <c r="BU3" s="5">
        <v>7.02215E-06</v>
      </c>
      <c r="BV3" s="5">
        <v>3.14159265359</v>
      </c>
      <c r="BW3" s="5">
        <v>0</v>
      </c>
      <c r="BX3">
        <f t="shared" si="10"/>
        <v>-7.02215E-06</v>
      </c>
      <c r="BZ3" s="5">
        <v>1.2341E-07</v>
      </c>
      <c r="CA3" s="5">
        <v>3.14159265359</v>
      </c>
      <c r="CB3" s="5">
        <v>0</v>
      </c>
      <c r="CC3">
        <f t="shared" si="11"/>
        <v>-1.2341E-07</v>
      </c>
      <c r="CE3" s="5">
        <v>7.74E-09</v>
      </c>
      <c r="CF3" s="5">
        <v>0</v>
      </c>
      <c r="CG3" s="5">
        <v>0</v>
      </c>
      <c r="CH3">
        <f t="shared" si="12"/>
        <v>7.74E-09</v>
      </c>
      <c r="CJ3" s="5">
        <v>5.3E-10</v>
      </c>
      <c r="CK3" s="5">
        <v>3.44031471924</v>
      </c>
      <c r="CL3" s="5">
        <v>5573.1428014331</v>
      </c>
      <c r="CM3">
        <f t="shared" si="13"/>
        <v>-4.4945243612357186E-10</v>
      </c>
      <c r="CO3" s="5">
        <v>1E-11</v>
      </c>
      <c r="CP3" s="5">
        <v>0.38068797142</v>
      </c>
      <c r="CQ3" s="5">
        <v>18849.2275499742</v>
      </c>
      <c r="CR3">
        <f>CO3*COS(CP3+CQ3*$E$16)</f>
        <v>3.972742642923306E-12</v>
      </c>
    </row>
    <row r="4" spans="1:91" ht="12.75">
      <c r="A4" s="2" t="s">
        <v>6</v>
      </c>
      <c r="B4" s="2" t="s">
        <v>7</v>
      </c>
      <c r="C4" s="2" t="s">
        <v>4</v>
      </c>
      <c r="D4" s="2" t="s">
        <v>8</v>
      </c>
      <c r="E4" s="2" t="s">
        <v>7</v>
      </c>
      <c r="F4" s="2" t="s">
        <v>4</v>
      </c>
      <c r="M4" s="5">
        <v>3.417571E-05</v>
      </c>
      <c r="N4" s="5">
        <v>2.82886579606</v>
      </c>
      <c r="O4" s="5">
        <v>3.523118349</v>
      </c>
      <c r="P4">
        <f t="shared" si="0"/>
        <v>-3.297729967407616E-05</v>
      </c>
      <c r="R4" s="5">
        <v>4.25264E-06</v>
      </c>
      <c r="S4" s="5">
        <v>1.59046980729</v>
      </c>
      <c r="T4" s="5">
        <v>3.523118349</v>
      </c>
      <c r="U4">
        <f t="shared" si="1"/>
        <v>-2.838451554199157E-07</v>
      </c>
      <c r="W4" s="5">
        <v>2.7339E-07</v>
      </c>
      <c r="X4" s="5">
        <v>0.05297871691</v>
      </c>
      <c r="Y4" s="5">
        <v>3.523118349</v>
      </c>
      <c r="Z4">
        <f t="shared" si="2"/>
        <v>2.7202144358640553E-07</v>
      </c>
      <c r="AB4" s="5">
        <v>2.962E-08</v>
      </c>
      <c r="AC4" s="5">
        <v>5.19577265202</v>
      </c>
      <c r="AD4" s="5">
        <v>155.4203994342</v>
      </c>
      <c r="AE4">
        <f t="shared" si="3"/>
        <v>1.6219001917579186E-08</v>
      </c>
      <c r="AG4" s="5">
        <v>4.2E-09</v>
      </c>
      <c r="AH4" s="5">
        <v>0.41925861858</v>
      </c>
      <c r="AI4" s="5">
        <v>155.4203994342</v>
      </c>
      <c r="AJ4">
        <f t="shared" si="4"/>
        <v>-3.359797160225994E-09</v>
      </c>
      <c r="AL4" s="5">
        <v>2.8E-10</v>
      </c>
      <c r="AM4" s="5">
        <v>2.21496423926</v>
      </c>
      <c r="AN4" s="5">
        <v>12566.1516999828</v>
      </c>
      <c r="AO4">
        <f>AL4*COS(AM4+AN4*$E$16)</f>
        <v>2.2431704715596352E-10</v>
      </c>
      <c r="AQ4" s="5">
        <v>4.3806E-07</v>
      </c>
      <c r="AR4" s="5">
        <v>3.70444689758</v>
      </c>
      <c r="AS4" s="5">
        <v>2352.8661537718</v>
      </c>
      <c r="AT4">
        <f t="shared" si="5"/>
        <v>-3.5739546613895393E-07</v>
      </c>
      <c r="AV4" s="5">
        <v>2.834E-08</v>
      </c>
      <c r="AW4" s="5">
        <v>2.4734503745</v>
      </c>
      <c r="AX4" s="5">
        <v>1577.3435424478</v>
      </c>
      <c r="AY4">
        <f t="shared" si="6"/>
        <v>2.4151051121003886E-10</v>
      </c>
      <c r="BA4" s="5">
        <v>2.58E-09</v>
      </c>
      <c r="BB4" s="5">
        <v>6.00906896311</v>
      </c>
      <c r="BC4" s="5">
        <v>5223.6939198022</v>
      </c>
      <c r="BD4">
        <f t="shared" si="7"/>
        <v>2.290936735264117E-09</v>
      </c>
      <c r="BF4" s="5">
        <v>8E-11</v>
      </c>
      <c r="BG4" s="5">
        <v>2.86720038197</v>
      </c>
      <c r="BH4" s="5">
        <v>7058.5984613154</v>
      </c>
      <c r="BI4">
        <f t="shared" si="8"/>
        <v>-7.948789870658761E-11</v>
      </c>
      <c r="BK4" s="5">
        <v>3E-11</v>
      </c>
      <c r="BL4" s="5">
        <v>3.46779895686</v>
      </c>
      <c r="BM4" s="5">
        <v>6279.5527316424</v>
      </c>
      <c r="BN4">
        <f>BK4*COS(BL4+BM4*$E$16)</f>
        <v>2.6217527288802684E-11</v>
      </c>
      <c r="BP4" s="5">
        <v>3.08372E-05</v>
      </c>
      <c r="BQ4" s="5">
        <v>5.19846674381</v>
      </c>
      <c r="BR4" s="5">
        <v>77713.7714681205</v>
      </c>
      <c r="BS4">
        <f t="shared" si="9"/>
        <v>-1.3225403701710333E-06</v>
      </c>
      <c r="BU4" s="5">
        <v>3.2346E-07</v>
      </c>
      <c r="BV4" s="5">
        <v>1.02169059149</v>
      </c>
      <c r="BW4" s="5">
        <v>18849.2275499742</v>
      </c>
      <c r="BX4">
        <f t="shared" si="10"/>
        <v>-7.451547377127599E-08</v>
      </c>
      <c r="BZ4" s="5">
        <v>8.792E-08</v>
      </c>
      <c r="CA4" s="5">
        <v>3.62777733395</v>
      </c>
      <c r="CB4" s="5">
        <v>77713.7714681205</v>
      </c>
      <c r="CC4">
        <f t="shared" si="11"/>
        <v>8.783870062956553E-08</v>
      </c>
      <c r="CE4" s="5">
        <v>2.47E-09</v>
      </c>
      <c r="CF4" s="5">
        <v>3.73019298781</v>
      </c>
      <c r="CG4" s="5">
        <v>18849.2275499742</v>
      </c>
      <c r="CH4">
        <f t="shared" si="12"/>
        <v>-4.9224400399469E-10</v>
      </c>
      <c r="CJ4" s="5">
        <v>1.5E-10</v>
      </c>
      <c r="CK4" s="5">
        <v>2.04794573436</v>
      </c>
      <c r="CL4" s="5">
        <v>18849.2275499742</v>
      </c>
      <c r="CM4">
        <f t="shared" si="13"/>
        <v>-1.4275439572149729E-10</v>
      </c>
    </row>
    <row r="5" spans="1:95" s="8" customFormat="1" ht="12.75">
      <c r="A5" s="7"/>
      <c r="B5" s="18">
        <f>TRUNC(C61)</f>
        <v>83</v>
      </c>
      <c r="C5" s="19">
        <f>60*ABS(C61-B5)</f>
        <v>15.451075286616458</v>
      </c>
      <c r="D5" s="20" t="str">
        <f>IF(B60&gt;=0,"N","S")</f>
        <v>N</v>
      </c>
      <c r="E5" s="18">
        <f>ABS(TRUNC(B60))</f>
        <v>19</v>
      </c>
      <c r="F5" s="19">
        <f>60*ABS(B60-TRUNC(B60))</f>
        <v>28.601691492343946</v>
      </c>
      <c r="J5" s="8" t="s">
        <v>116</v>
      </c>
      <c r="K5" s="8" t="s">
        <v>99</v>
      </c>
      <c r="L5" s="10" t="b">
        <f>OR(A2&lt;=-500,A2&gt;2150)</f>
        <v>0</v>
      </c>
      <c r="M5" s="5">
        <v>3.497056E-05</v>
      </c>
      <c r="N5" s="5">
        <v>2.74411800971</v>
      </c>
      <c r="O5" s="5">
        <v>5753.3848848968</v>
      </c>
      <c r="P5">
        <f t="shared" si="0"/>
        <v>-1.4093430740045056E-05</v>
      </c>
      <c r="R5" s="5">
        <v>1.08977E-06</v>
      </c>
      <c r="S5" s="5">
        <v>2.96618001993</v>
      </c>
      <c r="T5" s="5">
        <v>1577.3435424478</v>
      </c>
      <c r="U5">
        <f t="shared" si="1"/>
        <v>5.236601856719305E-07</v>
      </c>
      <c r="W5" s="5">
        <v>1.6334E-07</v>
      </c>
      <c r="X5" s="5">
        <v>5.18826691036</v>
      </c>
      <c r="Y5" s="5">
        <v>26.2983197998</v>
      </c>
      <c r="Z5">
        <f t="shared" si="2"/>
        <v>1.2027087180843846E-07</v>
      </c>
      <c r="AB5" s="5">
        <v>1.288E-08</v>
      </c>
      <c r="AC5" s="5">
        <v>4.72200252235</v>
      </c>
      <c r="AD5" s="5">
        <v>3.523118349</v>
      </c>
      <c r="AE5">
        <f t="shared" si="3"/>
        <v>7.303593875343149E-10</v>
      </c>
      <c r="AG5" s="5">
        <v>4E-10</v>
      </c>
      <c r="AH5" s="5">
        <v>3.5984758584</v>
      </c>
      <c r="AI5" s="5">
        <v>18849.2275499742</v>
      </c>
      <c r="AJ5">
        <f t="shared" si="4"/>
        <v>-1.3050594883439793E-10</v>
      </c>
      <c r="AL5" s="5">
        <v>5E-11</v>
      </c>
      <c r="AM5" s="5">
        <v>1.75600058765</v>
      </c>
      <c r="AN5" s="5">
        <v>18849.2275499742</v>
      </c>
      <c r="AO5">
        <f>AL5*COS(AM5+AN5*$E$16)</f>
        <v>-4.115271426995665E-11</v>
      </c>
      <c r="AQ5" s="5">
        <v>3.1933E-07</v>
      </c>
      <c r="AR5" s="5">
        <v>4.00026369781</v>
      </c>
      <c r="AS5" s="5">
        <v>1577.3435424478</v>
      </c>
      <c r="AT5">
        <f t="shared" si="5"/>
        <v>3.1912924503412446E-07</v>
      </c>
      <c r="AV5" s="5">
        <v>1.817E-08</v>
      </c>
      <c r="AW5" s="5">
        <v>0.41874743765</v>
      </c>
      <c r="AX5" s="5">
        <v>6283.0758499914</v>
      </c>
      <c r="AY5">
        <f t="shared" si="6"/>
        <v>-1.6953959726443994E-08</v>
      </c>
      <c r="BA5" s="5">
        <v>1.31E-09</v>
      </c>
      <c r="BB5" s="5">
        <v>0.9544734524</v>
      </c>
      <c r="BC5" s="5">
        <v>6283.0758499914</v>
      </c>
      <c r="BD5">
        <f t="shared" si="7"/>
        <v>-1.2916011369532662E-09</v>
      </c>
      <c r="BF5" s="5">
        <v>7E-11</v>
      </c>
      <c r="BG5" s="5">
        <v>3.04818741666</v>
      </c>
      <c r="BH5" s="5">
        <v>5486.777843175</v>
      </c>
      <c r="BI5">
        <f t="shared" si="8"/>
        <v>3.5689877657814104E-11</v>
      </c>
      <c r="BK5" s="5">
        <v>3E-11</v>
      </c>
      <c r="BL5" s="5">
        <v>2.89822201212</v>
      </c>
      <c r="BM5" s="5">
        <v>6127.6554505572</v>
      </c>
      <c r="BN5">
        <f>BK5*COS(BL5+BM5*$E$16)</f>
        <v>-2.9983870511569476E-11</v>
      </c>
      <c r="BP5" s="5">
        <v>1.628461E-05</v>
      </c>
      <c r="BQ5" s="5">
        <v>1.17387749012</v>
      </c>
      <c r="BR5" s="5">
        <v>5753.3848848968</v>
      </c>
      <c r="BS5">
        <f t="shared" si="9"/>
        <v>-1.4907259581640691E-05</v>
      </c>
      <c r="BU5" s="5">
        <v>3.0799E-07</v>
      </c>
      <c r="BV5" s="5">
        <v>2.84353804832</v>
      </c>
      <c r="BW5" s="5">
        <v>5507.5532386674</v>
      </c>
      <c r="BX5">
        <f t="shared" si="10"/>
        <v>1.3722660194073295E-07</v>
      </c>
      <c r="BZ5" s="5">
        <v>5.689E-08</v>
      </c>
      <c r="CA5" s="5">
        <v>1.86958905084</v>
      </c>
      <c r="CB5" s="5">
        <v>5573.1428014331</v>
      </c>
      <c r="CC5">
        <f t="shared" si="11"/>
        <v>3.014594045473863E-08</v>
      </c>
      <c r="CE5" s="5">
        <v>3.6E-10</v>
      </c>
      <c r="CF5" s="5">
        <v>2.8008140905</v>
      </c>
      <c r="CG5" s="5">
        <v>6286.5989683404</v>
      </c>
      <c r="CH5">
        <f t="shared" si="12"/>
        <v>1.695724409463854E-10</v>
      </c>
      <c r="CJ5" s="5">
        <v>1.3E-10</v>
      </c>
      <c r="CK5" s="5">
        <v>2.05688873673</v>
      </c>
      <c r="CL5" s="5">
        <v>77713.7714681205</v>
      </c>
      <c r="CM5">
        <f t="shared" si="13"/>
        <v>5.577319261619127E-12</v>
      </c>
      <c r="CO5" s="5"/>
      <c r="CP5" s="5"/>
      <c r="CQ5" s="5"/>
    </row>
    <row r="6" spans="10:91" ht="12.75">
      <c r="J6" t="s">
        <v>97</v>
      </c>
      <c r="K6">
        <f>(A2-1820)/100</f>
        <v>1.93</v>
      </c>
      <c r="M6" s="5">
        <v>3.135896E-05</v>
      </c>
      <c r="N6" s="5">
        <v>3.62767041758</v>
      </c>
      <c r="O6" s="5">
        <v>77713.7714681205</v>
      </c>
      <c r="P6">
        <f t="shared" si="0"/>
        <v>3.1330106432898566E-05</v>
      </c>
      <c r="R6" s="5">
        <v>9.3478E-07</v>
      </c>
      <c r="S6" s="5">
        <v>2.59212835365</v>
      </c>
      <c r="T6" s="5">
        <v>18849.2275499742</v>
      </c>
      <c r="U6">
        <f t="shared" si="1"/>
        <v>-9.097144864740805E-07</v>
      </c>
      <c r="W6" s="5">
        <v>1.5752E-07</v>
      </c>
      <c r="X6" s="5">
        <v>3.6845788943</v>
      </c>
      <c r="Y6" s="5">
        <v>155.4203994342</v>
      </c>
      <c r="Z6">
        <f t="shared" si="2"/>
        <v>1.3671030494507585E-07</v>
      </c>
      <c r="AB6" s="5">
        <v>6.35E-09</v>
      </c>
      <c r="AC6" s="5">
        <v>5.96925937141</v>
      </c>
      <c r="AD6" s="5">
        <v>242.728603974</v>
      </c>
      <c r="AE6">
        <f t="shared" si="3"/>
        <v>-6.211795403451425E-09</v>
      </c>
      <c r="AG6" s="5">
        <v>4.1E-10</v>
      </c>
      <c r="AH6" s="5">
        <v>3.14398414077</v>
      </c>
      <c r="AI6" s="5">
        <v>3.523118349</v>
      </c>
      <c r="AJ6">
        <f t="shared" si="4"/>
        <v>-4.0949753147027594E-10</v>
      </c>
      <c r="AQ6" s="5">
        <v>2.2724E-07</v>
      </c>
      <c r="AR6" s="5">
        <v>3.9847383156</v>
      </c>
      <c r="AS6" s="5">
        <v>1047.7473117547</v>
      </c>
      <c r="AT6">
        <f t="shared" si="5"/>
        <v>1.4977535164744086E-07</v>
      </c>
      <c r="AV6" s="5">
        <v>1.499E-08</v>
      </c>
      <c r="AW6" s="5">
        <v>1.83320979291</v>
      </c>
      <c r="AX6" s="5">
        <v>5856.4776591154</v>
      </c>
      <c r="AY6">
        <f t="shared" si="6"/>
        <v>7.964782537479519E-10</v>
      </c>
      <c r="BA6" s="5">
        <v>8.6E-10</v>
      </c>
      <c r="BB6" s="5">
        <v>1.67530247303</v>
      </c>
      <c r="BC6" s="5">
        <v>7860.4193924392</v>
      </c>
      <c r="BD6">
        <f t="shared" si="7"/>
        <v>8.599869644927925E-10</v>
      </c>
      <c r="BF6" s="5">
        <v>7E-11</v>
      </c>
      <c r="BG6" s="5">
        <v>2.59437103785</v>
      </c>
      <c r="BH6" s="5">
        <v>529.6909650946</v>
      </c>
      <c r="BI6">
        <f t="shared" si="8"/>
        <v>-6.775008763740048E-11</v>
      </c>
      <c r="BP6" s="5">
        <v>1.575568E-05</v>
      </c>
      <c r="BQ6" s="5">
        <v>2.84685245825</v>
      </c>
      <c r="BR6" s="5">
        <v>7860.4193924392</v>
      </c>
      <c r="BS6">
        <f t="shared" si="9"/>
        <v>6.204445862949973E-06</v>
      </c>
      <c r="BU6" s="5">
        <v>2.4971E-07</v>
      </c>
      <c r="BV6" s="5">
        <v>1.31906709482</v>
      </c>
      <c r="BW6" s="5">
        <v>5223.6939198022</v>
      </c>
      <c r="BX6">
        <f t="shared" si="10"/>
        <v>-1.1978156382055582E-07</v>
      </c>
      <c r="BZ6" s="5">
        <v>3.301E-08</v>
      </c>
      <c r="CA6" s="5">
        <v>5.47027913302</v>
      </c>
      <c r="CB6" s="5">
        <v>18849.2275499742</v>
      </c>
      <c r="CC6">
        <f t="shared" si="11"/>
        <v>3.2993787533550195E-08</v>
      </c>
      <c r="CE6" s="5">
        <v>3.3E-10</v>
      </c>
      <c r="CF6" s="5">
        <v>5.62216602775</v>
      </c>
      <c r="CG6" s="5">
        <v>6127.6554505572</v>
      </c>
      <c r="CH6">
        <f t="shared" si="12"/>
        <v>3.0586139889541206E-10</v>
      </c>
      <c r="CJ6" s="5">
        <v>7E-11</v>
      </c>
      <c r="CK6" s="5">
        <v>4.4121885448</v>
      </c>
      <c r="CL6" s="5">
        <v>161000.685737674</v>
      </c>
      <c r="CM6">
        <f t="shared" si="13"/>
        <v>-6.231338628150298E-11</v>
      </c>
    </row>
    <row r="7" spans="1:91" ht="12.75">
      <c r="A7" s="3" t="s">
        <v>79</v>
      </c>
      <c r="B7" s="11" t="s">
        <v>4</v>
      </c>
      <c r="D7" s="2" t="s">
        <v>76</v>
      </c>
      <c r="E7" s="11" t="s">
        <v>4</v>
      </c>
      <c r="F7" s="11" t="s">
        <v>5</v>
      </c>
      <c r="J7" t="s">
        <v>98</v>
      </c>
      <c r="K7">
        <f>-20+32*K6*K6</f>
        <v>99.1968</v>
      </c>
      <c r="L7">
        <f>K7*L5</f>
        <v>0</v>
      </c>
      <c r="M7" s="5">
        <v>2.676218E-05</v>
      </c>
      <c r="N7" s="5">
        <v>4.41808351397</v>
      </c>
      <c r="O7" s="5">
        <v>7860.4193924392</v>
      </c>
      <c r="P7">
        <f t="shared" si="0"/>
        <v>-2.4604374492818903E-05</v>
      </c>
      <c r="R7" s="5">
        <v>1.19261E-06</v>
      </c>
      <c r="S7" s="5">
        <v>5.79557487799</v>
      </c>
      <c r="T7" s="5">
        <v>26.2983197998</v>
      </c>
      <c r="U7">
        <f t="shared" si="1"/>
        <v>1.1816188031383124E-06</v>
      </c>
      <c r="W7" s="5">
        <v>9.541E-08</v>
      </c>
      <c r="X7" s="5">
        <v>0.75742297675</v>
      </c>
      <c r="Y7" s="5">
        <v>18849.2275499742</v>
      </c>
      <c r="Z7">
        <f t="shared" si="2"/>
        <v>3.034455729209464E-09</v>
      </c>
      <c r="AB7" s="5">
        <v>7.14E-09</v>
      </c>
      <c r="AC7" s="5">
        <v>5.30045809128</v>
      </c>
      <c r="AD7" s="5">
        <v>18849.2275499742</v>
      </c>
      <c r="AE7">
        <f t="shared" si="3"/>
        <v>6.996020051500409E-09</v>
      </c>
      <c r="AG7" s="5">
        <v>3.5E-10</v>
      </c>
      <c r="AH7" s="5">
        <v>5.00298940826</v>
      </c>
      <c r="AI7" s="5">
        <v>5573.1428014331</v>
      </c>
      <c r="AJ7">
        <f t="shared" si="4"/>
        <v>-1.8788996336280932E-10</v>
      </c>
      <c r="AQ7" s="5">
        <v>1.6392E-07</v>
      </c>
      <c r="AR7" s="5">
        <v>3.56456119782</v>
      </c>
      <c r="AS7" s="5">
        <v>5856.4776591154</v>
      </c>
      <c r="AT7">
        <f t="shared" si="5"/>
        <v>1.6019080904753967E-07</v>
      </c>
      <c r="AV7" s="5">
        <v>1.466E-08</v>
      </c>
      <c r="AW7" s="5">
        <v>5.69401926017</v>
      </c>
      <c r="AX7" s="5">
        <v>5753.3848848968</v>
      </c>
      <c r="AY7">
        <f t="shared" si="6"/>
        <v>8.356046166061741E-09</v>
      </c>
      <c r="BA7" s="5">
        <v>9E-10</v>
      </c>
      <c r="BB7" s="5">
        <v>0.97606804452</v>
      </c>
      <c r="BC7" s="5">
        <v>1577.3435424478</v>
      </c>
      <c r="BD7">
        <f t="shared" si="7"/>
        <v>-8.969806115011589E-10</v>
      </c>
      <c r="BF7" s="5">
        <v>8E-11</v>
      </c>
      <c r="BG7" s="5">
        <v>4.02863090524</v>
      </c>
      <c r="BH7" s="5">
        <v>6256.7775301916</v>
      </c>
      <c r="BI7">
        <f t="shared" si="8"/>
        <v>7.748562838895148E-11</v>
      </c>
      <c r="BP7" s="5">
        <v>9.24799E-06</v>
      </c>
      <c r="BQ7" s="5">
        <v>5.45292234084</v>
      </c>
      <c r="BR7" s="5">
        <v>11506.7697697936</v>
      </c>
      <c r="BS7">
        <f t="shared" si="9"/>
        <v>-5.999201202965801E-06</v>
      </c>
      <c r="BU7" s="5">
        <v>1.8485E-07</v>
      </c>
      <c r="BV7" s="5">
        <v>1.42429748614</v>
      </c>
      <c r="BW7" s="5">
        <v>1577.3435424478</v>
      </c>
      <c r="BX7">
        <f t="shared" si="10"/>
        <v>-1.5947442508811686E-07</v>
      </c>
      <c r="BZ7" s="5">
        <v>1.471E-08</v>
      </c>
      <c r="CA7" s="5">
        <v>4.48028885617</v>
      </c>
      <c r="CB7" s="5">
        <v>5507.5532386674</v>
      </c>
      <c r="CC7">
        <f t="shared" si="11"/>
        <v>-1.357251956903081E-08</v>
      </c>
      <c r="CE7" s="5">
        <v>1.9E-10</v>
      </c>
      <c r="CF7" s="5">
        <v>3.71292621802</v>
      </c>
      <c r="CG7" s="5">
        <v>6438.4962494256</v>
      </c>
      <c r="CH7">
        <f t="shared" si="12"/>
        <v>-5.48065356698981E-11</v>
      </c>
      <c r="CJ7" s="5">
        <v>5E-11</v>
      </c>
      <c r="CK7" s="5">
        <v>5.26154653107</v>
      </c>
      <c r="CL7" s="5">
        <v>6438.4962494256</v>
      </c>
      <c r="CM7">
        <f t="shared" si="13"/>
        <v>-4.818270794402074E-11</v>
      </c>
    </row>
    <row r="8" spans="2:91" ht="12.75">
      <c r="B8" s="21">
        <f>C45</f>
        <v>15.813268502667691</v>
      </c>
      <c r="D8" s="22" t="str">
        <f>IF(E66&gt;=0,"+","-")</f>
        <v>+</v>
      </c>
      <c r="E8" s="23">
        <f>ABS(E67)</f>
        <v>3</v>
      </c>
      <c r="F8" s="23">
        <f>F67</f>
        <v>37</v>
      </c>
      <c r="M8" s="5">
        <v>2.342687E-05</v>
      </c>
      <c r="N8" s="5">
        <v>6.13516237631</v>
      </c>
      <c r="O8" s="5">
        <v>3930.2096962196</v>
      </c>
      <c r="P8">
        <f t="shared" si="0"/>
        <v>-1.2884875525373437E-05</v>
      </c>
      <c r="R8" s="5">
        <v>7.2122E-07</v>
      </c>
      <c r="S8" s="5">
        <v>1.13846158196</v>
      </c>
      <c r="T8" s="5">
        <v>529.6909650946</v>
      </c>
      <c r="U8">
        <f t="shared" si="1"/>
        <v>-2.602072580322282E-07</v>
      </c>
      <c r="W8" s="5">
        <v>8.937E-08</v>
      </c>
      <c r="X8" s="5">
        <v>2.05705419118</v>
      </c>
      <c r="Y8" s="5">
        <v>77713.7714681205</v>
      </c>
      <c r="Z8">
        <f t="shared" si="2"/>
        <v>3.8489654771529075E-09</v>
      </c>
      <c r="AB8" s="5">
        <v>4.02E-09</v>
      </c>
      <c r="AC8" s="5">
        <v>3.78682982419</v>
      </c>
      <c r="AD8" s="5">
        <v>553.5694028424</v>
      </c>
      <c r="AE8">
        <f t="shared" si="3"/>
        <v>7.799773643861601E-10</v>
      </c>
      <c r="AG8" s="5">
        <v>1.3E-10</v>
      </c>
      <c r="AH8" s="5">
        <v>0.48794833701</v>
      </c>
      <c r="AI8" s="5">
        <v>77713.7714681205</v>
      </c>
      <c r="AJ8">
        <f t="shared" si="4"/>
        <v>-1.2986972977351606E-10</v>
      </c>
      <c r="AQ8" s="5">
        <v>1.8141E-07</v>
      </c>
      <c r="AR8" s="5">
        <v>4.98367470263</v>
      </c>
      <c r="AS8" s="5">
        <v>6283.0758499914</v>
      </c>
      <c r="AT8">
        <f t="shared" si="5"/>
        <v>8.941241216887312E-08</v>
      </c>
      <c r="AV8" s="5">
        <v>1.301E-08</v>
      </c>
      <c r="AW8" s="5">
        <v>2.18890066314</v>
      </c>
      <c r="AX8" s="5">
        <v>9437.762934887</v>
      </c>
      <c r="AY8">
        <f t="shared" si="6"/>
        <v>-1.2052560681194437E-08</v>
      </c>
      <c r="BA8" s="5">
        <v>9E-10</v>
      </c>
      <c r="BB8" s="5">
        <v>0.37899871725</v>
      </c>
      <c r="BC8" s="5">
        <v>2352.8661537718</v>
      </c>
      <c r="BD8">
        <f t="shared" si="7"/>
        <v>8.170431713750327E-10</v>
      </c>
      <c r="BF8" s="5">
        <v>8E-11</v>
      </c>
      <c r="BG8" s="5">
        <v>2.42003508927</v>
      </c>
      <c r="BH8" s="5">
        <v>5753.3848848968</v>
      </c>
      <c r="BI8">
        <f t="shared" si="8"/>
        <v>-5.3877104439138834E-11</v>
      </c>
      <c r="BP8" s="5">
        <v>5.42444E-06</v>
      </c>
      <c r="BQ8" s="5">
        <v>4.56409149777</v>
      </c>
      <c r="BR8" s="5">
        <v>3930.2096962196</v>
      </c>
      <c r="BS8">
        <f t="shared" si="9"/>
        <v>4.5311047075346565E-06</v>
      </c>
      <c r="BU8" s="5">
        <v>1.0078E-07</v>
      </c>
      <c r="BV8" s="5">
        <v>5.91378194648</v>
      </c>
      <c r="BW8" s="5">
        <v>10977.078804699</v>
      </c>
      <c r="BX8">
        <f t="shared" si="10"/>
        <v>-3.600082595612706E-08</v>
      </c>
      <c r="BZ8" s="5">
        <v>1.013E-08</v>
      </c>
      <c r="CA8" s="5">
        <v>2.81456417694</v>
      </c>
      <c r="CB8" s="5">
        <v>5223.6939198022</v>
      </c>
      <c r="CC8">
        <f t="shared" si="11"/>
        <v>-9.228848269016882E-09</v>
      </c>
      <c r="CE8" s="5">
        <v>1.6E-10</v>
      </c>
      <c r="CF8" s="5">
        <v>4.26011484232</v>
      </c>
      <c r="CG8" s="5">
        <v>6525.8044539654</v>
      </c>
      <c r="CH8">
        <f t="shared" si="12"/>
        <v>-1.4498062137507563E-10</v>
      </c>
      <c r="CJ8" s="5">
        <v>5E-11</v>
      </c>
      <c r="CK8" s="5">
        <v>4.07695126049</v>
      </c>
      <c r="CL8" s="5">
        <v>6127.6554505572</v>
      </c>
      <c r="CM8">
        <f t="shared" si="13"/>
        <v>-1.757972711480607E-11</v>
      </c>
    </row>
    <row r="9" spans="10:91" ht="12.75">
      <c r="J9" s="13" t="s">
        <v>117</v>
      </c>
      <c r="K9" t="s">
        <v>100</v>
      </c>
      <c r="L9" t="b">
        <f>AND(-500&lt;A2,A2&lt;=500)</f>
        <v>0</v>
      </c>
      <c r="M9" s="5">
        <v>1.273166E-05</v>
      </c>
      <c r="N9" s="5">
        <v>2.03709655772</v>
      </c>
      <c r="O9" s="5">
        <v>529.6909650946</v>
      </c>
      <c r="P9">
        <f t="shared" si="0"/>
        <v>-1.2151490790889179E-05</v>
      </c>
      <c r="R9" s="5">
        <v>6.7768E-07</v>
      </c>
      <c r="S9" s="5">
        <v>1.87472304791</v>
      </c>
      <c r="T9" s="5">
        <v>398.1490034082</v>
      </c>
      <c r="U9">
        <f t="shared" si="1"/>
        <v>4.1227948990803693E-07</v>
      </c>
      <c r="W9" s="5">
        <v>6.952E-08</v>
      </c>
      <c r="X9" s="5">
        <v>0.8267330541</v>
      </c>
      <c r="Y9" s="5">
        <v>775.522611324</v>
      </c>
      <c r="Z9">
        <f t="shared" si="2"/>
        <v>1.4070071960497617E-08</v>
      </c>
      <c r="AB9" s="5">
        <v>7.2E-10</v>
      </c>
      <c r="AC9" s="5">
        <v>4.2976812618</v>
      </c>
      <c r="AD9" s="5">
        <v>6286.5989683404</v>
      </c>
      <c r="AE9">
        <f t="shared" si="3"/>
        <v>6.584376396195687E-10</v>
      </c>
      <c r="AG9" s="5">
        <v>1E-10</v>
      </c>
      <c r="AH9" s="5">
        <v>5.6480176635</v>
      </c>
      <c r="AI9" s="5">
        <v>6127.6554505572</v>
      </c>
      <c r="AJ9">
        <f t="shared" si="4"/>
        <v>9.362473027783681E-11</v>
      </c>
      <c r="AQ9" s="5">
        <v>1.4443E-07</v>
      </c>
      <c r="AR9" s="5">
        <v>3.70275614914</v>
      </c>
      <c r="AS9" s="5">
        <v>9437.762934887</v>
      </c>
      <c r="AT9">
        <f t="shared" si="5"/>
        <v>-6.190765114126596E-08</v>
      </c>
      <c r="AV9" s="5">
        <v>1.233E-08</v>
      </c>
      <c r="AW9" s="5">
        <v>4.95222451476</v>
      </c>
      <c r="AX9" s="5">
        <v>10213.285546211</v>
      </c>
      <c r="AY9">
        <f t="shared" si="6"/>
        <v>-1.2122876960461062E-08</v>
      </c>
      <c r="BA9" s="5">
        <v>8.9E-10</v>
      </c>
      <c r="BB9" s="5">
        <v>6.25807507963</v>
      </c>
      <c r="BC9" s="5">
        <v>10213.285546211</v>
      </c>
      <c r="BD9">
        <f t="shared" si="7"/>
        <v>-7.236109790719862E-11</v>
      </c>
      <c r="BF9" s="5">
        <v>6E-11</v>
      </c>
      <c r="BG9" s="5">
        <v>0.84181087594</v>
      </c>
      <c r="BH9" s="5">
        <v>6275.9623029906</v>
      </c>
      <c r="BI9">
        <f t="shared" si="8"/>
        <v>-5.995198390485989E-11</v>
      </c>
      <c r="BP9" s="5">
        <v>4.7211E-06</v>
      </c>
      <c r="BQ9" s="5">
        <v>3.66100022149</v>
      </c>
      <c r="BR9" s="5">
        <v>5884.9268465832</v>
      </c>
      <c r="BS9">
        <f t="shared" si="9"/>
        <v>3.6391398569153654E-06</v>
      </c>
      <c r="BU9" s="5">
        <v>8.634E-08</v>
      </c>
      <c r="BV9" s="5">
        <v>0.27146150602</v>
      </c>
      <c r="BW9" s="5">
        <v>5486.777843175</v>
      </c>
      <c r="BX9">
        <f t="shared" si="10"/>
        <v>-1.4619963446075531E-08</v>
      </c>
      <c r="BZ9" s="5">
        <v>8.54E-09</v>
      </c>
      <c r="CA9" s="5">
        <v>3.10878241236</v>
      </c>
      <c r="CB9" s="5">
        <v>1577.3435424478</v>
      </c>
      <c r="CC9">
        <f t="shared" si="11"/>
        <v>5.12641088124701E-09</v>
      </c>
      <c r="CE9" s="5">
        <v>1.6E-10</v>
      </c>
      <c r="CF9" s="5">
        <v>3.50416887054</v>
      </c>
      <c r="CG9" s="5">
        <v>6256.7775301916</v>
      </c>
      <c r="CH9">
        <f t="shared" si="12"/>
        <v>1.1421317832867409E-10</v>
      </c>
      <c r="CJ9" s="5">
        <v>6E-11</v>
      </c>
      <c r="CK9" s="5">
        <v>3.81514213664</v>
      </c>
      <c r="CL9" s="5">
        <v>149854.400134807</v>
      </c>
      <c r="CM9">
        <f t="shared" si="13"/>
        <v>-4.796510367214117E-11</v>
      </c>
    </row>
    <row r="10" spans="1:95" s="10" customFormat="1" ht="12.75">
      <c r="A10" s="9" t="s">
        <v>9</v>
      </c>
      <c r="B10" s="9" t="s">
        <v>9</v>
      </c>
      <c r="C10" s="9" t="s">
        <v>9</v>
      </c>
      <c r="D10" s="9" t="s">
        <v>9</v>
      </c>
      <c r="E10" s="9" t="s">
        <v>9</v>
      </c>
      <c r="F10" s="9" t="s">
        <v>9</v>
      </c>
      <c r="J10" s="8" t="s">
        <v>97</v>
      </c>
      <c r="K10" s="10">
        <f>K3/100</f>
        <v>20.13375</v>
      </c>
      <c r="M10" s="5">
        <v>1.324292E-05</v>
      </c>
      <c r="N10" s="5">
        <v>0.74246356352</v>
      </c>
      <c r="O10" s="5">
        <v>11506.7697697936</v>
      </c>
      <c r="P10">
        <f t="shared" si="0"/>
        <v>-1.0061810431012302E-05</v>
      </c>
      <c r="R10" s="5">
        <v>6.7327E-07</v>
      </c>
      <c r="S10" s="5">
        <v>4.40918235168</v>
      </c>
      <c r="T10" s="5">
        <v>5507.5532386674</v>
      </c>
      <c r="U10">
        <f t="shared" si="1"/>
        <v>-6.011944235173789E-07</v>
      </c>
      <c r="W10" s="5">
        <v>5.064E-08</v>
      </c>
      <c r="X10" s="5">
        <v>4.66284525271</v>
      </c>
      <c r="Y10" s="5">
        <v>1577.3435424478</v>
      </c>
      <c r="Z10">
        <f t="shared" si="2"/>
        <v>4.100424962344812E-08</v>
      </c>
      <c r="AB10" s="5">
        <v>6.7E-10</v>
      </c>
      <c r="AC10" s="5">
        <v>0.90721687647</v>
      </c>
      <c r="AD10" s="5">
        <v>6127.6554505572</v>
      </c>
      <c r="AE10">
        <f t="shared" si="3"/>
        <v>2.53123854866247E-10</v>
      </c>
      <c r="AG10" s="5">
        <v>8E-11</v>
      </c>
      <c r="AH10" s="5">
        <v>2.84160570605</v>
      </c>
      <c r="AI10" s="5">
        <v>161000.685737674</v>
      </c>
      <c r="AJ10">
        <f t="shared" si="4"/>
        <v>3.6431760370060933E-11</v>
      </c>
      <c r="AL10" s="5"/>
      <c r="AM10" s="5"/>
      <c r="AN10" s="5"/>
      <c r="AQ10" s="5">
        <v>1.4304E-07</v>
      </c>
      <c r="AR10" s="5">
        <v>3.41117857525</v>
      </c>
      <c r="AS10" s="5">
        <v>10213.285546211</v>
      </c>
      <c r="AT10">
        <f t="shared" si="5"/>
        <v>-3.0279840532503805E-08</v>
      </c>
      <c r="AV10" s="5">
        <v>1.021E-08</v>
      </c>
      <c r="AW10" s="5">
        <v>0.12866660208</v>
      </c>
      <c r="AX10" s="5">
        <v>7860.4193924392</v>
      </c>
      <c r="AY10">
        <f t="shared" si="6"/>
        <v>1.90451713992993E-10</v>
      </c>
      <c r="BA10" s="5">
        <v>7.5E-10</v>
      </c>
      <c r="BB10" s="5">
        <v>0.84213523741</v>
      </c>
      <c r="BC10" s="5">
        <v>167621.575850861</v>
      </c>
      <c r="BD10">
        <f t="shared" si="7"/>
        <v>7.139095216878384E-10</v>
      </c>
      <c r="BF10" s="5">
        <v>6E-11</v>
      </c>
      <c r="BG10" s="5">
        <v>5.40160929468</v>
      </c>
      <c r="BH10" s="5">
        <v>1577.3435424478</v>
      </c>
      <c r="BI10">
        <f t="shared" si="8"/>
        <v>1.2208844538553636E-11</v>
      </c>
      <c r="BK10" s="5"/>
      <c r="BL10" s="5"/>
      <c r="BM10" s="5"/>
      <c r="BP10" s="5">
        <v>3.2878E-06</v>
      </c>
      <c r="BQ10" s="5">
        <v>5.89983646482</v>
      </c>
      <c r="BR10" s="5">
        <v>5223.6939198022</v>
      </c>
      <c r="BS10">
        <f t="shared" si="9"/>
        <v>3.0668803310721034E-06</v>
      </c>
      <c r="BU10" s="5">
        <v>8.654E-08</v>
      </c>
      <c r="BV10" s="5">
        <v>1.42046854427</v>
      </c>
      <c r="BW10" s="5">
        <v>6275.9623029906</v>
      </c>
      <c r="BX10">
        <f t="shared" si="10"/>
        <v>-7.42861833524849E-08</v>
      </c>
      <c r="BZ10" s="5">
        <v>1.102E-08</v>
      </c>
      <c r="CA10" s="5">
        <v>2.84173992403</v>
      </c>
      <c r="CB10" s="5">
        <v>161000.685737674</v>
      </c>
      <c r="CC10">
        <f t="shared" si="11"/>
        <v>5.017158135992282E-09</v>
      </c>
      <c r="CE10" s="5">
        <v>1.4E-10</v>
      </c>
      <c r="CF10" s="5">
        <v>3.62127621114</v>
      </c>
      <c r="CG10" s="5">
        <v>25132.3033999656</v>
      </c>
      <c r="CH10">
        <f t="shared" si="12"/>
        <v>1.2452844906012025E-10</v>
      </c>
      <c r="CJ10" s="5">
        <v>3E-11</v>
      </c>
      <c r="CK10" s="5">
        <v>1.28175749811</v>
      </c>
      <c r="CL10" s="5">
        <v>6286.5989683404</v>
      </c>
      <c r="CM10">
        <f t="shared" si="13"/>
        <v>-2.5697219376552677E-11</v>
      </c>
      <c r="CO10" s="5"/>
      <c r="CP10" s="5"/>
      <c r="CQ10" s="5"/>
    </row>
    <row r="11" spans="10:86" ht="12.75">
      <c r="J11" t="s">
        <v>98</v>
      </c>
      <c r="K11">
        <f>10583.6+K10*(-1014.41+K10*(33.78311+K10*(-5.952053+K10*(-0.1798452+K10*(0.022174192+0.0090316521*K10)))))</f>
        <v>600695.70847695</v>
      </c>
      <c r="L11">
        <f>K11*L9</f>
        <v>0</v>
      </c>
      <c r="M11" s="5">
        <v>9.01855E-06</v>
      </c>
      <c r="N11" s="5">
        <v>2.04505443513</v>
      </c>
      <c r="O11" s="5">
        <v>26.2983197998</v>
      </c>
      <c r="P11">
        <f t="shared" si="0"/>
        <v>-6.630665545585771E-06</v>
      </c>
      <c r="R11" s="5">
        <v>5.9027E-07</v>
      </c>
      <c r="S11" s="5">
        <v>2.8879703846</v>
      </c>
      <c r="T11" s="5">
        <v>5223.6939198022</v>
      </c>
      <c r="U11">
        <f t="shared" si="1"/>
        <v>-5.18462778769894E-07</v>
      </c>
      <c r="W11" s="5">
        <v>4.061E-08</v>
      </c>
      <c r="X11" s="5">
        <v>1.03057162962</v>
      </c>
      <c r="Y11" s="5">
        <v>7.1135470008</v>
      </c>
      <c r="Z11">
        <f t="shared" si="2"/>
        <v>1.7483856028997018E-08</v>
      </c>
      <c r="AB11" s="5">
        <v>3.6E-10</v>
      </c>
      <c r="AC11" s="5">
        <v>5.24029648014</v>
      </c>
      <c r="AD11" s="5">
        <v>6438.4962494256</v>
      </c>
      <c r="AE11">
        <f t="shared" si="3"/>
        <v>-3.488807433868864E-10</v>
      </c>
      <c r="AG11" s="5">
        <v>2E-11</v>
      </c>
      <c r="AH11" s="5">
        <v>0.54912904658</v>
      </c>
      <c r="AI11" s="5">
        <v>6438.4962494256</v>
      </c>
      <c r="AJ11">
        <f t="shared" si="4"/>
        <v>5.3425082650408826E-12</v>
      </c>
      <c r="AQ11" s="5">
        <v>1.1246E-07</v>
      </c>
      <c r="AR11" s="5">
        <v>4.8282069053</v>
      </c>
      <c r="AS11" s="5">
        <v>14143.4952424306</v>
      </c>
      <c r="AT11">
        <f t="shared" si="5"/>
        <v>7.988045805712649E-08</v>
      </c>
      <c r="AV11" s="5">
        <v>9.82E-09</v>
      </c>
      <c r="AW11" s="5">
        <v>0.09005453285</v>
      </c>
      <c r="AX11" s="5">
        <v>14143.4952424306</v>
      </c>
      <c r="AY11">
        <f t="shared" si="6"/>
        <v>7.0896682715969226E-09</v>
      </c>
      <c r="BA11" s="5">
        <v>5.2E-10</v>
      </c>
      <c r="BB11" s="5">
        <v>1.70501566089</v>
      </c>
      <c r="BC11" s="5">
        <v>14143.4952424306</v>
      </c>
      <c r="BD11">
        <f t="shared" si="7"/>
        <v>-3.760290543841891E-10</v>
      </c>
      <c r="BF11" s="5">
        <v>7E-11</v>
      </c>
      <c r="BG11" s="5">
        <v>2.73399865247</v>
      </c>
      <c r="BH11" s="5">
        <v>6309.3741697912</v>
      </c>
      <c r="BI11">
        <f t="shared" si="8"/>
        <v>4.659039590286395E-11</v>
      </c>
      <c r="BP11" s="5">
        <v>3.45983E-06</v>
      </c>
      <c r="BQ11" s="5">
        <v>0.96368617687</v>
      </c>
      <c r="BR11" s="5">
        <v>5507.5532386674</v>
      </c>
      <c r="BS11">
        <f t="shared" si="9"/>
        <v>2.481800569650909E-06</v>
      </c>
      <c r="BU11" s="5">
        <v>5.069E-08</v>
      </c>
      <c r="BV11" s="5">
        <v>1.68613426734</v>
      </c>
      <c r="BW11" s="5">
        <v>5088.6288397668</v>
      </c>
      <c r="BX11">
        <f t="shared" si="10"/>
        <v>4.0909370894888533E-08</v>
      </c>
      <c r="BZ11" s="5">
        <v>6.48E-09</v>
      </c>
      <c r="CA11" s="5">
        <v>5.47349498544</v>
      </c>
      <c r="CB11" s="5">
        <v>775.522611324</v>
      </c>
      <c r="CC11">
        <f t="shared" si="11"/>
        <v>-6.418244045064555E-09</v>
      </c>
      <c r="CE11" s="5">
        <v>1.1E-10</v>
      </c>
      <c r="CF11" s="5">
        <v>4.39200958819</v>
      </c>
      <c r="CG11" s="5">
        <v>4705.7323075436</v>
      </c>
      <c r="CH11">
        <f t="shared" si="12"/>
        <v>-2.3245031210351375E-11</v>
      </c>
    </row>
    <row r="12" spans="1:86" ht="12.75">
      <c r="A12" t="s">
        <v>10</v>
      </c>
      <c r="B12" t="s">
        <v>0</v>
      </c>
      <c r="C12" t="s">
        <v>1</v>
      </c>
      <c r="D12" t="s">
        <v>11</v>
      </c>
      <c r="E12" t="s">
        <v>12</v>
      </c>
      <c r="F12" s="6" t="s">
        <v>14</v>
      </c>
      <c r="M12" s="5">
        <v>1.199167E-05</v>
      </c>
      <c r="N12" s="5">
        <v>1.10962944315</v>
      </c>
      <c r="O12" s="5">
        <v>1577.3435424478</v>
      </c>
      <c r="P12">
        <f t="shared" si="0"/>
        <v>-1.1714304539553243E-05</v>
      </c>
      <c r="R12" s="5">
        <v>5.5976E-07</v>
      </c>
      <c r="S12" s="5">
        <v>2.17471680261</v>
      </c>
      <c r="T12" s="5">
        <v>155.4203994342</v>
      </c>
      <c r="U12">
        <f t="shared" si="1"/>
        <v>-2.4796241636500945E-07</v>
      </c>
      <c r="W12" s="5">
        <v>3.463E-08</v>
      </c>
      <c r="X12" s="5">
        <v>5.14074632811</v>
      </c>
      <c r="Y12" s="5">
        <v>796.2980068164</v>
      </c>
      <c r="Z12">
        <f t="shared" si="2"/>
        <v>-3.450994433160366E-08</v>
      </c>
      <c r="AB12" s="5">
        <v>2.4E-10</v>
      </c>
      <c r="AC12" s="5">
        <v>5.16003960716</v>
      </c>
      <c r="AD12" s="5">
        <v>25132.3033999656</v>
      </c>
      <c r="AE12">
        <f t="shared" si="3"/>
        <v>-1.0277621932009916E-10</v>
      </c>
      <c r="AQ12" s="5">
        <v>1.09E-07</v>
      </c>
      <c r="AR12" s="5">
        <v>2.08574562327</v>
      </c>
      <c r="AS12" s="5">
        <v>6812.766815086</v>
      </c>
      <c r="AT12">
        <f t="shared" si="5"/>
        <v>5.507679567085451E-08</v>
      </c>
      <c r="AV12" s="5">
        <v>8.65E-09</v>
      </c>
      <c r="AW12" s="5">
        <v>1.73949953555</v>
      </c>
      <c r="AX12" s="5">
        <v>3930.2096962196</v>
      </c>
      <c r="AY12">
        <f t="shared" si="6"/>
        <v>-5.3830538228703155E-09</v>
      </c>
      <c r="BA12" s="5">
        <v>5.7E-10</v>
      </c>
      <c r="BB12" s="5">
        <v>6.15295833679</v>
      </c>
      <c r="BC12" s="5">
        <v>12194.0329146209</v>
      </c>
      <c r="BD12">
        <f t="shared" si="7"/>
        <v>5.255593441310586E-10</v>
      </c>
      <c r="BP12" s="5">
        <v>3.06784E-06</v>
      </c>
      <c r="BQ12" s="5">
        <v>0.29867139512</v>
      </c>
      <c r="BR12" s="5">
        <v>5573.1428014331</v>
      </c>
      <c r="BS12">
        <f t="shared" si="9"/>
        <v>2.6015179200472253E-06</v>
      </c>
      <c r="BU12" s="5">
        <v>4.985E-08</v>
      </c>
      <c r="BV12" s="5">
        <v>6.01401770704</v>
      </c>
      <c r="BW12" s="5">
        <v>6286.5989683404</v>
      </c>
      <c r="BX12">
        <f t="shared" si="10"/>
        <v>-2.6567179744642268E-08</v>
      </c>
      <c r="BZ12" s="5">
        <v>6.09E-09</v>
      </c>
      <c r="CA12" s="5">
        <v>1.37969434104</v>
      </c>
      <c r="CB12" s="5">
        <v>6438.4962494256</v>
      </c>
      <c r="CC12">
        <f t="shared" si="11"/>
        <v>5.43014111297203E-09</v>
      </c>
      <c r="CE12" s="5">
        <v>1.1E-10</v>
      </c>
      <c r="CF12" s="5">
        <v>5.22327127059</v>
      </c>
      <c r="CG12" s="5">
        <v>6040.3472460174</v>
      </c>
      <c r="CH12">
        <f t="shared" si="12"/>
        <v>-4.087312269403962E-11</v>
      </c>
    </row>
    <row r="13" spans="1:86" ht="12.75">
      <c r="A13">
        <f>C2+(D2*3600+E2*60+F2)/86400</f>
        <v>17.728761574074074</v>
      </c>
      <c r="B13">
        <f>IF(B2&gt;2.5,A2,A2-1)</f>
        <v>2013</v>
      </c>
      <c r="C13">
        <f>IF(B2&gt;2.5,B2,B2+12)</f>
        <v>5</v>
      </c>
      <c r="D13">
        <f>INT(B13/100)</f>
        <v>20</v>
      </c>
      <c r="E13">
        <f>2-D13+INT(D13/4)</f>
        <v>-13</v>
      </c>
      <c r="F13">
        <f>INT(365.25*(B13+4716))+INT(30.6001*(C13+1))+A13+E13-1524.5</f>
        <v>2456430.2287615743</v>
      </c>
      <c r="J13" t="s">
        <v>118</v>
      </c>
      <c r="K13" t="s">
        <v>102</v>
      </c>
      <c r="L13" t="b">
        <f>AND(500&lt;A2,A2&lt;=1600)</f>
        <v>0</v>
      </c>
      <c r="M13" s="5">
        <v>8.57223E-06</v>
      </c>
      <c r="N13" s="5">
        <v>3.50849156957</v>
      </c>
      <c r="O13" s="5">
        <v>398.1490034082</v>
      </c>
      <c r="P13">
        <f t="shared" si="0"/>
        <v>-7.118090404486697E-06</v>
      </c>
      <c r="R13" s="5">
        <v>4.5407E-07</v>
      </c>
      <c r="S13" s="5">
        <v>0.39803079805</v>
      </c>
      <c r="T13" s="5">
        <v>796.2980068164</v>
      </c>
      <c r="U13">
        <f t="shared" si="1"/>
        <v>2.40389827460069E-08</v>
      </c>
      <c r="W13" s="5">
        <v>3.169E-08</v>
      </c>
      <c r="X13" s="5">
        <v>6.05291851171</v>
      </c>
      <c r="Y13" s="5">
        <v>5507.5532386674</v>
      </c>
      <c r="Z13">
        <f t="shared" si="2"/>
        <v>-1.2165512201355845E-08</v>
      </c>
      <c r="AB13" s="5">
        <v>2.3E-10</v>
      </c>
      <c r="AC13" s="5">
        <v>3.01921570335</v>
      </c>
      <c r="AD13" s="5">
        <v>6309.3741697912</v>
      </c>
      <c r="AE13">
        <f t="shared" si="3"/>
        <v>1.951963116150392E-10</v>
      </c>
      <c r="AQ13" s="5">
        <v>9.714E-08</v>
      </c>
      <c r="AR13" s="5">
        <v>3.47303947752</v>
      </c>
      <c r="AS13" s="5">
        <v>4694.0029547076</v>
      </c>
      <c r="AT13">
        <f t="shared" si="5"/>
        <v>-9.33024512429934E-08</v>
      </c>
      <c r="AV13" s="5">
        <v>5.81E-09</v>
      </c>
      <c r="AW13" s="5">
        <v>2.26949174067</v>
      </c>
      <c r="AX13" s="5">
        <v>5884.9268465832</v>
      </c>
      <c r="AY13">
        <f t="shared" si="6"/>
        <v>4.4405625886704275E-09</v>
      </c>
      <c r="BA13" s="5">
        <v>5.1E-10</v>
      </c>
      <c r="BB13" s="5">
        <v>1.2761601674</v>
      </c>
      <c r="BC13" s="5">
        <v>5753.3848848968</v>
      </c>
      <c r="BD13">
        <f t="shared" si="7"/>
        <v>-4.853837509733012E-10</v>
      </c>
      <c r="BP13" s="5">
        <v>1.74844E-06</v>
      </c>
      <c r="BQ13" s="5">
        <v>3.01193636534</v>
      </c>
      <c r="BR13" s="5">
        <v>18849.2275499742</v>
      </c>
      <c r="BS13">
        <f t="shared" si="9"/>
        <v>-1.3898840303505767E-06</v>
      </c>
      <c r="BU13" s="5">
        <v>4.669E-08</v>
      </c>
      <c r="BV13" s="5">
        <v>5.98724494073</v>
      </c>
      <c r="BW13" s="5">
        <v>529.6909650946</v>
      </c>
      <c r="BX13">
        <f t="shared" si="10"/>
        <v>4.085044629593653E-08</v>
      </c>
      <c r="BZ13" s="5">
        <v>4.99E-09</v>
      </c>
      <c r="CA13" s="5">
        <v>4.4164924225</v>
      </c>
      <c r="CB13" s="5">
        <v>6286.5989683404</v>
      </c>
      <c r="CC13">
        <f t="shared" si="11"/>
        <v>4.291861896346096E-09</v>
      </c>
      <c r="CE13" s="5">
        <v>1E-10</v>
      </c>
      <c r="CF13" s="5">
        <v>4.28045254647</v>
      </c>
      <c r="CG13" s="5">
        <v>83996.8473181118</v>
      </c>
      <c r="CH13">
        <f t="shared" si="12"/>
        <v>-9.958629709928021E-11</v>
      </c>
    </row>
    <row r="14" spans="10:86" ht="12.75">
      <c r="J14" t="s">
        <v>97</v>
      </c>
      <c r="K14">
        <f>(K3-1000)/100</f>
        <v>10.13375</v>
      </c>
      <c r="M14" s="5">
        <v>7.79786E-06</v>
      </c>
      <c r="N14" s="5">
        <v>1.17882652114</v>
      </c>
      <c r="O14" s="5">
        <v>5223.6939198022</v>
      </c>
      <c r="P14">
        <f t="shared" si="0"/>
        <v>-2.747368067585413E-06</v>
      </c>
      <c r="R14" s="5">
        <v>3.6369E-07</v>
      </c>
      <c r="S14" s="5">
        <v>0.46624739835</v>
      </c>
      <c r="T14" s="5">
        <v>775.522611324</v>
      </c>
      <c r="U14">
        <f t="shared" si="1"/>
        <v>-5.6753336513551874E-08</v>
      </c>
      <c r="W14" s="5">
        <v>3.02E-08</v>
      </c>
      <c r="X14" s="5">
        <v>1.19246506441</v>
      </c>
      <c r="Y14" s="5">
        <v>242.728603974</v>
      </c>
      <c r="Z14">
        <f t="shared" si="2"/>
        <v>-8.15483246207761E-09</v>
      </c>
      <c r="AB14" s="5">
        <v>1.7E-10</v>
      </c>
      <c r="AC14" s="5">
        <v>5.82863573502</v>
      </c>
      <c r="AD14" s="5">
        <v>6525.8044539654</v>
      </c>
      <c r="AE14">
        <f t="shared" si="3"/>
        <v>7.155959255698406E-11</v>
      </c>
      <c r="AQ14" s="5">
        <v>1.0367E-07</v>
      </c>
      <c r="AR14" s="5">
        <v>4.05663927946</v>
      </c>
      <c r="AS14" s="5">
        <v>71092.8813549326</v>
      </c>
      <c r="AT14">
        <f t="shared" si="5"/>
        <v>1.0294741458449131E-07</v>
      </c>
      <c r="AV14" s="5">
        <v>5.24E-09</v>
      </c>
      <c r="AW14" s="5">
        <v>5.65662503159</v>
      </c>
      <c r="AX14" s="5">
        <v>529.6909650946</v>
      </c>
      <c r="AY14">
        <f t="shared" si="6"/>
        <v>5.160070361320558E-09</v>
      </c>
      <c r="BA14" s="5">
        <v>5.1E-10</v>
      </c>
      <c r="BB14" s="5">
        <v>5.37229738682</v>
      </c>
      <c r="BC14" s="5">
        <v>6812.766815086</v>
      </c>
      <c r="BD14">
        <f t="shared" si="7"/>
        <v>-3.1856983459934164E-10</v>
      </c>
      <c r="BP14" s="5">
        <v>2.43189E-06</v>
      </c>
      <c r="BQ14" s="5">
        <v>4.27349536153</v>
      </c>
      <c r="BR14" s="5">
        <v>11790.6290886588</v>
      </c>
      <c r="BS14">
        <f t="shared" si="9"/>
        <v>4.3893619745907667E-07</v>
      </c>
      <c r="BU14" s="5">
        <v>4.395E-08</v>
      </c>
      <c r="BV14" s="5">
        <v>0.51800238019</v>
      </c>
      <c r="BW14" s="5">
        <v>4694.0029547076</v>
      </c>
      <c r="BX14">
        <f t="shared" si="10"/>
        <v>3.921269777829753E-08</v>
      </c>
      <c r="BZ14" s="5">
        <v>4.17E-09</v>
      </c>
      <c r="CA14" s="5">
        <v>0.90242451175</v>
      </c>
      <c r="CB14" s="5">
        <v>10977.078804699</v>
      </c>
      <c r="CC14">
        <f t="shared" si="11"/>
        <v>-4.160831870985605E-09</v>
      </c>
      <c r="CE14" s="5">
        <v>9E-11</v>
      </c>
      <c r="CF14" s="5">
        <v>1.56864096494</v>
      </c>
      <c r="CG14" s="5">
        <v>5507.5532386674</v>
      </c>
      <c r="CH14">
        <f t="shared" si="12"/>
        <v>8.876438168971604E-11</v>
      </c>
    </row>
    <row r="15" spans="2:86" ht="12.75">
      <c r="B15" s="6" t="s">
        <v>15</v>
      </c>
      <c r="C15" t="s">
        <v>16</v>
      </c>
      <c r="D15" s="6" t="s">
        <v>13</v>
      </c>
      <c r="E15" s="6" t="s">
        <v>17</v>
      </c>
      <c r="F15" s="6" t="s">
        <v>18</v>
      </c>
      <c r="J15" t="s">
        <v>98</v>
      </c>
      <c r="K15">
        <f>1574.2+K14*(-556.01+K14*(71.23472+K14*(0.319781+K14*(-0.8503463+K14*(-0.005050998+0.0083572073*K14)))))</f>
        <v>3131.118828301381</v>
      </c>
      <c r="L15">
        <f>K15*L13</f>
        <v>0</v>
      </c>
      <c r="M15" s="5">
        <v>9.9025E-06</v>
      </c>
      <c r="N15" s="5">
        <v>5.23268129594</v>
      </c>
      <c r="O15" s="5">
        <v>5884.9268465832</v>
      </c>
      <c r="P15">
        <f t="shared" si="0"/>
        <v>-6.3151135378034855E-06</v>
      </c>
      <c r="R15" s="5">
        <v>2.8958E-07</v>
      </c>
      <c r="S15" s="5">
        <v>2.64707383882</v>
      </c>
      <c r="T15" s="5">
        <v>7.1135470008</v>
      </c>
      <c r="U15">
        <f t="shared" si="1"/>
        <v>-2.6679128016290355E-07</v>
      </c>
      <c r="W15" s="5">
        <v>2.886E-08</v>
      </c>
      <c r="X15" s="5">
        <v>6.11652627155</v>
      </c>
      <c r="Y15" s="5">
        <v>529.6909650946</v>
      </c>
      <c r="Z15">
        <f t="shared" si="2"/>
        <v>2.3237998239135234E-08</v>
      </c>
      <c r="AB15" s="5">
        <v>1.7E-10</v>
      </c>
      <c r="AC15" s="5">
        <v>3.6777286393</v>
      </c>
      <c r="AD15" s="5">
        <v>71430.695618129</v>
      </c>
      <c r="AE15">
        <f t="shared" si="3"/>
        <v>-1.0836343928656105E-10</v>
      </c>
      <c r="AQ15" s="5">
        <v>8.775E-08</v>
      </c>
      <c r="AR15" s="5">
        <v>4.44016515669</v>
      </c>
      <c r="AS15" s="5">
        <v>5753.3848848968</v>
      </c>
      <c r="AT15">
        <f t="shared" si="5"/>
        <v>8.409716153665608E-08</v>
      </c>
      <c r="AV15" s="5">
        <v>4.73E-09</v>
      </c>
      <c r="AW15" s="5">
        <v>6.22750969242</v>
      </c>
      <c r="AX15" s="5">
        <v>6309.3741697912</v>
      </c>
      <c r="AY15">
        <f t="shared" si="6"/>
        <v>-4.172073166319325E-09</v>
      </c>
      <c r="BA15" s="5">
        <v>3.4E-10</v>
      </c>
      <c r="BB15" s="5">
        <v>1.73672994279</v>
      </c>
      <c r="BC15" s="5">
        <v>7058.5984613154</v>
      </c>
      <c r="BD15">
        <f t="shared" si="7"/>
        <v>-1.0924689719686101E-10</v>
      </c>
      <c r="BP15" s="5">
        <v>2.11829E-06</v>
      </c>
      <c r="BQ15" s="5">
        <v>5.84714540314</v>
      </c>
      <c r="BR15" s="5">
        <v>1577.3435424478</v>
      </c>
      <c r="BS15">
        <f t="shared" si="9"/>
        <v>-5.048076938177079E-07</v>
      </c>
      <c r="BU15" s="5">
        <v>3.872E-08</v>
      </c>
      <c r="BV15" s="5">
        <v>4.74969833437</v>
      </c>
      <c r="BW15" s="5">
        <v>2544.3144198834</v>
      </c>
      <c r="BX15">
        <f t="shared" si="10"/>
        <v>1.8220216511582783E-08</v>
      </c>
      <c r="BZ15" s="5">
        <v>4.02E-09</v>
      </c>
      <c r="CA15" s="5">
        <v>3.2037658529</v>
      </c>
      <c r="CB15" s="5">
        <v>5088.6288397668</v>
      </c>
      <c r="CC15">
        <f t="shared" si="11"/>
        <v>-2.1979841680674406E-09</v>
      </c>
      <c r="CE15" s="5">
        <v>1.1E-10</v>
      </c>
      <c r="CF15" s="5">
        <v>1.37795688024</v>
      </c>
      <c r="CG15" s="5">
        <v>6309.3741697912</v>
      </c>
      <c r="CH15">
        <f t="shared" si="12"/>
        <v>-6.460799751757159E-11</v>
      </c>
    </row>
    <row r="16" spans="2:86" ht="12.75">
      <c r="B16">
        <f>L7+L11+L15+L19+L23+L27+L31+L35+L39+L43+L47+L51+L55+L58</f>
        <v>68.228843453125</v>
      </c>
      <c r="C16">
        <f>C2+(D2*3600+E2*60+(F2+B16))/86400</f>
        <v>17.72955125976219</v>
      </c>
      <c r="D16">
        <f>INT(365.25*(B13+4716))+INT(30.6001*(C13+1))+C16+E13-1524.5</f>
        <v>2456430.22955126</v>
      </c>
      <c r="E16">
        <f>(D16-2451545)/365250</f>
        <v>0.013375029572237903</v>
      </c>
      <c r="F16">
        <f>10*E16</f>
        <v>0.13375029572237904</v>
      </c>
      <c r="M16" s="5">
        <v>7.53141E-06</v>
      </c>
      <c r="N16" s="5">
        <v>2.53339053818</v>
      </c>
      <c r="O16" s="5">
        <v>5507.5532386674</v>
      </c>
      <c r="P16">
        <f t="shared" si="0"/>
        <v>5.2533703639644645E-06</v>
      </c>
      <c r="R16" s="5">
        <v>1.9097E-07</v>
      </c>
      <c r="S16" s="5">
        <v>1.84628332577</v>
      </c>
      <c r="T16" s="5">
        <v>5486.777843175</v>
      </c>
      <c r="U16">
        <f t="shared" si="1"/>
        <v>1.8834092326232363E-07</v>
      </c>
      <c r="W16" s="5">
        <v>3.81E-08</v>
      </c>
      <c r="X16" s="5">
        <v>3.4405080349</v>
      </c>
      <c r="Y16" s="5">
        <v>5573.1428014331</v>
      </c>
      <c r="Z16">
        <f t="shared" si="2"/>
        <v>-3.231359670808463E-08</v>
      </c>
      <c r="AB16" s="5">
        <v>9E-11</v>
      </c>
      <c r="AC16" s="5">
        <v>4.58467294499</v>
      </c>
      <c r="AD16" s="5">
        <v>1577.3435424478</v>
      </c>
      <c r="AE16">
        <f t="shared" si="3"/>
        <v>7.677664117712106E-11</v>
      </c>
      <c r="AQ16" s="5">
        <v>8.366E-08</v>
      </c>
      <c r="AR16" s="5">
        <v>4.9925151218</v>
      </c>
      <c r="AS16" s="5">
        <v>7084.8967811152</v>
      </c>
      <c r="AT16">
        <f t="shared" si="5"/>
        <v>5.960750255718749E-08</v>
      </c>
      <c r="AV16" s="5">
        <v>4.51E-09</v>
      </c>
      <c r="AW16" s="5">
        <v>1.53288619213</v>
      </c>
      <c r="AX16" s="5">
        <v>18073.7049386502</v>
      </c>
      <c r="AY16">
        <f t="shared" si="6"/>
        <v>-9.145835280649612E-10</v>
      </c>
      <c r="BA16" s="5">
        <v>3.8E-10</v>
      </c>
      <c r="BB16" s="5">
        <v>2.77761031485</v>
      </c>
      <c r="BC16" s="5">
        <v>10988.808157535</v>
      </c>
      <c r="BD16">
        <f t="shared" si="7"/>
        <v>1.9131305045364045E-10</v>
      </c>
      <c r="BP16" s="5">
        <v>1.85752E-06</v>
      </c>
      <c r="BQ16" s="5">
        <v>5.02194447178</v>
      </c>
      <c r="BR16" s="5">
        <v>10977.078804699</v>
      </c>
      <c r="BS16">
        <f t="shared" si="9"/>
        <v>9.334963939537147E-07</v>
      </c>
      <c r="BU16" s="5">
        <v>3.75E-08</v>
      </c>
      <c r="BV16" s="5">
        <v>5.07097685568</v>
      </c>
      <c r="BW16" s="5">
        <v>796.2980068164</v>
      </c>
      <c r="BX16">
        <f t="shared" si="10"/>
        <v>-3.749657122263851E-08</v>
      </c>
      <c r="BZ16" s="5">
        <v>3.51E-09</v>
      </c>
      <c r="CA16" s="5">
        <v>1.8107922777</v>
      </c>
      <c r="CB16" s="5">
        <v>5486.777843175</v>
      </c>
      <c r="CC16">
        <f t="shared" si="11"/>
        <v>3.4389026643959675E-09</v>
      </c>
      <c r="CE16" s="5">
        <v>1E-10</v>
      </c>
      <c r="CF16" s="5">
        <v>5.19937959068</v>
      </c>
      <c r="CG16" s="5">
        <v>71430.695618129</v>
      </c>
      <c r="CH16">
        <f t="shared" si="12"/>
        <v>7.382620910180728E-11</v>
      </c>
    </row>
    <row r="17" spans="10:86" ht="12.75">
      <c r="J17" t="s">
        <v>119</v>
      </c>
      <c r="K17" t="s">
        <v>103</v>
      </c>
      <c r="L17" t="b">
        <f>AND(1600&lt;A2,A2&lt;=1700)</f>
        <v>0</v>
      </c>
      <c r="M17" s="5">
        <v>5.05264E-06</v>
      </c>
      <c r="N17" s="5">
        <v>4.58292563052</v>
      </c>
      <c r="O17" s="5">
        <v>18849.2275499742</v>
      </c>
      <c r="P17">
        <f t="shared" si="0"/>
        <v>3.066230209508049E-06</v>
      </c>
      <c r="R17" s="5">
        <v>2.0844E-07</v>
      </c>
      <c r="S17" s="5">
        <v>5.34138275149</v>
      </c>
      <c r="T17" s="5">
        <v>0.9803210682</v>
      </c>
      <c r="U17">
        <f t="shared" si="1"/>
        <v>1.2483117347797064E-07</v>
      </c>
      <c r="W17" s="5">
        <v>2.714E-08</v>
      </c>
      <c r="X17" s="5">
        <v>0.30637881025</v>
      </c>
      <c r="Y17" s="5">
        <v>398.1490034082</v>
      </c>
      <c r="Z17">
        <f t="shared" si="2"/>
        <v>2.1580200311572053E-08</v>
      </c>
      <c r="AB17" s="5">
        <v>8E-11</v>
      </c>
      <c r="AC17" s="5">
        <v>1.40626662824</v>
      </c>
      <c r="AD17" s="5">
        <v>11856.2186514245</v>
      </c>
      <c r="AE17">
        <f t="shared" si="3"/>
        <v>-7.775087811049416E-11</v>
      </c>
      <c r="AQ17" s="5">
        <v>6.921E-08</v>
      </c>
      <c r="AR17" s="5">
        <v>4.32559054073</v>
      </c>
      <c r="AS17" s="5">
        <v>6275.9623029906</v>
      </c>
      <c r="AT17">
        <f t="shared" si="5"/>
        <v>6.607414256888472E-08</v>
      </c>
      <c r="AV17" s="5">
        <v>3.64E-09</v>
      </c>
      <c r="AW17" s="5">
        <v>3.61614477374</v>
      </c>
      <c r="AX17" s="5">
        <v>13367.9726311066</v>
      </c>
      <c r="AY17">
        <f t="shared" si="6"/>
        <v>3.5668625842012707E-09</v>
      </c>
      <c r="BA17" s="5">
        <v>4.6E-10</v>
      </c>
      <c r="BB17" s="5">
        <v>3.38617099014</v>
      </c>
      <c r="BC17" s="5">
        <v>156475.290247995</v>
      </c>
      <c r="BD17">
        <f t="shared" si="7"/>
        <v>-3.1866353346905117E-10</v>
      </c>
      <c r="BP17" s="5">
        <v>1.09835E-06</v>
      </c>
      <c r="BQ17" s="5">
        <v>5.05510636285</v>
      </c>
      <c r="BR17" s="5">
        <v>5486.777843175</v>
      </c>
      <c r="BS17">
        <f t="shared" si="9"/>
        <v>-1.0929834242543896E-06</v>
      </c>
      <c r="BU17" s="5">
        <v>4.1E-08</v>
      </c>
      <c r="BV17" s="5">
        <v>1.08424786092</v>
      </c>
      <c r="BW17" s="5">
        <v>9437.762934887</v>
      </c>
      <c r="BX17">
        <f t="shared" si="10"/>
        <v>-3.2807421887408917E-09</v>
      </c>
      <c r="BZ17" s="5">
        <v>4.67E-09</v>
      </c>
      <c r="CA17" s="5">
        <v>3.65753702738</v>
      </c>
      <c r="CB17" s="5">
        <v>7084.8967811152</v>
      </c>
      <c r="CC17">
        <f t="shared" si="11"/>
        <v>-2.4087316046168084E-09</v>
      </c>
      <c r="CE17" s="5">
        <v>9E-11</v>
      </c>
      <c r="CF17" s="5">
        <v>0.4727519993</v>
      </c>
      <c r="CG17" s="5">
        <v>6279.5527316424</v>
      </c>
      <c r="CH17">
        <f t="shared" si="12"/>
        <v>-8.41974998277614E-11</v>
      </c>
    </row>
    <row r="18" spans="1:86" ht="12.75">
      <c r="A18" s="6" t="s">
        <v>24</v>
      </c>
      <c r="B18" t="s">
        <v>19</v>
      </c>
      <c r="C18" t="s">
        <v>20</v>
      </c>
      <c r="D18" t="s">
        <v>21</v>
      </c>
      <c r="E18" t="s">
        <v>22</v>
      </c>
      <c r="F18" s="6" t="s">
        <v>23</v>
      </c>
      <c r="J18" t="s">
        <v>104</v>
      </c>
      <c r="K18">
        <f>K3-1600</f>
        <v>413.375</v>
      </c>
      <c r="M18" s="5">
        <v>4.92379E-06</v>
      </c>
      <c r="N18" s="5">
        <v>4.20506639861</v>
      </c>
      <c r="O18" s="5">
        <v>775.522611324</v>
      </c>
      <c r="P18">
        <f t="shared" si="0"/>
        <v>-2.09962982327356E-06</v>
      </c>
      <c r="R18" s="5">
        <v>1.8508E-07</v>
      </c>
      <c r="S18" s="5">
        <v>4.96855124577</v>
      </c>
      <c r="T18" s="5">
        <v>213.299095438</v>
      </c>
      <c r="U18">
        <f t="shared" si="1"/>
        <v>6.023045890238871E-09</v>
      </c>
      <c r="W18" s="5">
        <v>2.371E-08</v>
      </c>
      <c r="X18" s="5">
        <v>4.38118838167</v>
      </c>
      <c r="Y18" s="5">
        <v>5223.6939198022</v>
      </c>
      <c r="Z18">
        <f t="shared" si="2"/>
        <v>9.685785818091333E-09</v>
      </c>
      <c r="AB18" s="5">
        <v>8E-11</v>
      </c>
      <c r="AC18" s="5">
        <v>5.07561257196</v>
      </c>
      <c r="AD18" s="5">
        <v>6256.7775301916</v>
      </c>
      <c r="AE18">
        <f t="shared" si="3"/>
        <v>5.598834776718423E-11</v>
      </c>
      <c r="AQ18" s="5">
        <v>9.145E-08</v>
      </c>
      <c r="AR18" s="5">
        <v>1.14182646613</v>
      </c>
      <c r="AS18" s="5">
        <v>6620.8901131878</v>
      </c>
      <c r="AT18">
        <f t="shared" si="5"/>
        <v>-1.4663255235542666E-08</v>
      </c>
      <c r="AV18" s="5">
        <v>3.72E-09</v>
      </c>
      <c r="AW18" s="5">
        <v>3.2247072132</v>
      </c>
      <c r="AX18" s="5">
        <v>6275.9623029906</v>
      </c>
      <c r="AY18">
        <f t="shared" si="6"/>
        <v>2.5952007353265514E-09</v>
      </c>
      <c r="BA18" s="5">
        <v>2.1E-10</v>
      </c>
      <c r="BB18" s="5">
        <v>1.95248349228</v>
      </c>
      <c r="BC18" s="5">
        <v>8827.3902698748</v>
      </c>
      <c r="BD18">
        <f t="shared" si="7"/>
        <v>1.686194547675047E-10</v>
      </c>
      <c r="BP18" s="5">
        <v>9.8316E-07</v>
      </c>
      <c r="BQ18" s="5">
        <v>0.88681311277</v>
      </c>
      <c r="BR18" s="5">
        <v>6069.7767545534</v>
      </c>
      <c r="BS18">
        <f t="shared" si="9"/>
        <v>9.097636979892467E-07</v>
      </c>
      <c r="BU18" s="5">
        <v>3.518E-08</v>
      </c>
      <c r="BV18" s="5">
        <v>0.02290216272</v>
      </c>
      <c r="BW18" s="5">
        <v>83996.8473181118</v>
      </c>
      <c r="BX18">
        <f t="shared" si="10"/>
        <v>1.2519523453192267E-08</v>
      </c>
      <c r="BZ18" s="5">
        <v>4.58E-09</v>
      </c>
      <c r="CA18" s="5">
        <v>5.38585314743</v>
      </c>
      <c r="CB18" s="5">
        <v>149854.400134807</v>
      </c>
      <c r="CC18">
        <f t="shared" si="11"/>
        <v>2.7512357084998147E-09</v>
      </c>
      <c r="CE18" s="5">
        <v>9E-11</v>
      </c>
      <c r="CF18" s="5">
        <v>0.74642756529</v>
      </c>
      <c r="CG18" s="5">
        <v>5729.506447149</v>
      </c>
      <c r="CH18">
        <f t="shared" si="12"/>
        <v>-3.585219863445347E-11</v>
      </c>
    </row>
    <row r="19" spans="1:86" ht="12.75">
      <c r="A19">
        <f>RADIANS(F19)</f>
        <v>5.639073545330384E-05</v>
      </c>
      <c r="B19">
        <f>RADIANS(280.4665+36000.7698*F16)</f>
        <v>88.93465016598336</v>
      </c>
      <c r="C19">
        <f>RADIANS(218.3165+481267.8813*F16)</f>
        <v>1127.273919553018</v>
      </c>
      <c r="D19">
        <f>RADIANS(125.04452-1934.136261*F16)</f>
        <v>-2.332576291166629</v>
      </c>
      <c r="E19">
        <f>-17.2*SIN(D19)-1.32*SIN(2*B19)-0.23*SIN(2*C19)+0.21*SIN(2*D19)</f>
        <v>11.631424122406983</v>
      </c>
      <c r="F19">
        <f>E19/3600</f>
        <v>0.003230951145113051</v>
      </c>
      <c r="J19" t="s">
        <v>98</v>
      </c>
      <c r="K19">
        <f>120+K18*(-0.9808+K18*(-0.01532+K18/7129))</f>
        <v>7005.108110495162</v>
      </c>
      <c r="L19">
        <f>K19*L17</f>
        <v>0</v>
      </c>
      <c r="M19" s="5">
        <v>3.56655E-06</v>
      </c>
      <c r="N19" s="5">
        <v>2.91954116867</v>
      </c>
      <c r="O19" s="5">
        <v>0.0673103028</v>
      </c>
      <c r="P19">
        <f t="shared" si="0"/>
        <v>-3.4796887259118928E-06</v>
      </c>
      <c r="R19" s="5">
        <v>1.6233E-07</v>
      </c>
      <c r="S19" s="5">
        <v>0.03216483047</v>
      </c>
      <c r="T19" s="5">
        <v>2544.3144198834</v>
      </c>
      <c r="U19">
        <f t="shared" si="1"/>
        <v>-1.428396331228061E-07</v>
      </c>
      <c r="W19" s="5">
        <v>2.538E-08</v>
      </c>
      <c r="X19" s="5">
        <v>2.27992810679</v>
      </c>
      <c r="Y19" s="5">
        <v>553.5694028424</v>
      </c>
      <c r="Z19">
        <f t="shared" si="2"/>
        <v>-2.4532467438451892E-08</v>
      </c>
      <c r="AB19" s="5">
        <v>7E-11</v>
      </c>
      <c r="AC19" s="5">
        <v>2.82473374405</v>
      </c>
      <c r="AD19" s="5">
        <v>83996.8473181118</v>
      </c>
      <c r="AE19">
        <f t="shared" si="3"/>
        <v>-1.6857370819831395E-12</v>
      </c>
      <c r="AQ19" s="5">
        <v>7.194E-08</v>
      </c>
      <c r="AR19" s="5">
        <v>3.60193205752</v>
      </c>
      <c r="AS19" s="5">
        <v>529.6909650946</v>
      </c>
      <c r="AT19">
        <f t="shared" si="5"/>
        <v>-2.1878075472310885E-08</v>
      </c>
      <c r="AV19" s="5">
        <v>2.68E-09</v>
      </c>
      <c r="AW19" s="5">
        <v>2.34341267879</v>
      </c>
      <c r="AX19" s="5">
        <v>11790.6290886588</v>
      </c>
      <c r="AY19">
        <f t="shared" si="6"/>
        <v>-2.6377503121494303E-09</v>
      </c>
      <c r="BA19" s="5">
        <v>1.8E-10</v>
      </c>
      <c r="BB19" s="5">
        <v>3.33419222028</v>
      </c>
      <c r="BC19" s="5">
        <v>8429.2412664666</v>
      </c>
      <c r="BD19">
        <f t="shared" si="7"/>
        <v>-1.7760282780257103E-10</v>
      </c>
      <c r="BP19" s="5">
        <v>8.6499E-07</v>
      </c>
      <c r="BQ19" s="5">
        <v>5.68959778254</v>
      </c>
      <c r="BR19" s="5">
        <v>15720.8387848784</v>
      </c>
      <c r="BS19">
        <f t="shared" si="9"/>
        <v>-5.941426510300233E-07</v>
      </c>
      <c r="BU19" s="5">
        <v>3.436E-08</v>
      </c>
      <c r="BV19" s="5">
        <v>0.94937019624</v>
      </c>
      <c r="BW19" s="5">
        <v>71430.695618129</v>
      </c>
      <c r="BX19">
        <f t="shared" si="10"/>
        <v>9.427090994061387E-09</v>
      </c>
      <c r="BZ19" s="5">
        <v>3.04E-09</v>
      </c>
      <c r="CA19" s="5">
        <v>3.51701098693</v>
      </c>
      <c r="CB19" s="5">
        <v>796.2980068164</v>
      </c>
      <c r="CC19">
        <f t="shared" si="11"/>
        <v>-9.226027462322628E-11</v>
      </c>
      <c r="CE19" s="5">
        <v>7E-11</v>
      </c>
      <c r="CF19" s="5">
        <v>2.9737489156</v>
      </c>
      <c r="CG19" s="5">
        <v>775.522611324</v>
      </c>
      <c r="CH19">
        <f t="shared" si="12"/>
        <v>4.9763152024019246E-11</v>
      </c>
    </row>
    <row r="20" spans="13:86" ht="12.75">
      <c r="M20" s="5">
        <v>2.84125E-06</v>
      </c>
      <c r="N20" s="5">
        <v>1.89869034186</v>
      </c>
      <c r="O20" s="5">
        <v>796.2980068164</v>
      </c>
      <c r="P20">
        <f t="shared" si="0"/>
        <v>2.840831154319222E-06</v>
      </c>
      <c r="R20" s="5">
        <v>1.7293E-07</v>
      </c>
      <c r="S20" s="5">
        <v>2.99116864949</v>
      </c>
      <c r="T20" s="5">
        <v>6275.9623029906</v>
      </c>
      <c r="U20">
        <f t="shared" si="1"/>
        <v>8.869468215077471E-08</v>
      </c>
      <c r="W20" s="5">
        <v>2.079E-08</v>
      </c>
      <c r="X20" s="5">
        <v>3.75435330484</v>
      </c>
      <c r="Y20" s="5">
        <v>0.9803210682</v>
      </c>
      <c r="Z20">
        <f t="shared" si="2"/>
        <v>-1.6849303908388257E-08</v>
      </c>
      <c r="AB20" s="5">
        <v>5E-11</v>
      </c>
      <c r="AC20" s="5">
        <v>2.71488713339</v>
      </c>
      <c r="AD20" s="5">
        <v>10977.078804699</v>
      </c>
      <c r="AE20">
        <f t="shared" si="3"/>
        <v>1.5157178091292197E-11</v>
      </c>
      <c r="AQ20" s="5">
        <v>7.698E-08</v>
      </c>
      <c r="AR20" s="5">
        <v>5.55425745881</v>
      </c>
      <c r="AS20" s="5">
        <v>167621.575850861</v>
      </c>
      <c r="AT20">
        <f t="shared" si="5"/>
        <v>-2.3611835131838475E-08</v>
      </c>
      <c r="AV20" s="5">
        <v>3.22E-09</v>
      </c>
      <c r="AW20" s="5">
        <v>0.94084045832</v>
      </c>
      <c r="AX20" s="5">
        <v>6069.7767545534</v>
      </c>
      <c r="AY20">
        <f t="shared" si="6"/>
        <v>2.9093451117457035E-09</v>
      </c>
      <c r="BA20" s="5">
        <v>1.9E-10</v>
      </c>
      <c r="BB20" s="5">
        <v>4.32945160287</v>
      </c>
      <c r="BC20" s="5">
        <v>17789.845619785</v>
      </c>
      <c r="BD20">
        <f t="shared" si="7"/>
        <v>-1.7737964209079512E-10</v>
      </c>
      <c r="BP20" s="5">
        <v>8.5825E-07</v>
      </c>
      <c r="BQ20" s="5">
        <v>1.27083733351</v>
      </c>
      <c r="BR20" s="5">
        <v>161000.685737674</v>
      </c>
      <c r="BS20">
        <f t="shared" si="9"/>
        <v>7.641010088761496E-07</v>
      </c>
      <c r="BU20" s="5">
        <v>3.221E-08</v>
      </c>
      <c r="BV20" s="5">
        <v>6.15628775313</v>
      </c>
      <c r="BW20" s="5">
        <v>2146.1654164752</v>
      </c>
      <c r="BX20">
        <f t="shared" si="10"/>
        <v>-3.0735048377630163E-08</v>
      </c>
      <c r="BZ20" s="5">
        <v>2.66E-09</v>
      </c>
      <c r="CA20" s="5">
        <v>6.17413982699</v>
      </c>
      <c r="CB20" s="5">
        <v>6836.6452528338</v>
      </c>
      <c r="CC20">
        <f t="shared" si="11"/>
        <v>-2.592892967174171E-09</v>
      </c>
      <c r="CE20" s="5">
        <v>7E-11</v>
      </c>
      <c r="CF20" s="5">
        <v>3.28615691021</v>
      </c>
      <c r="CG20" s="5">
        <v>7058.5984613154</v>
      </c>
      <c r="CH20">
        <f t="shared" si="12"/>
        <v>-6.675354870624015E-11</v>
      </c>
    </row>
    <row r="21" spans="1:86" ht="12.75">
      <c r="A21" s="6" t="s">
        <v>66</v>
      </c>
      <c r="B21" t="s">
        <v>29</v>
      </c>
      <c r="C21" t="s">
        <v>27</v>
      </c>
      <c r="D21" s="6" t="s">
        <v>28</v>
      </c>
      <c r="E21" t="s">
        <v>25</v>
      </c>
      <c r="F21" s="6" t="s">
        <v>26</v>
      </c>
      <c r="J21" t="s">
        <v>120</v>
      </c>
      <c r="K21" t="s">
        <v>105</v>
      </c>
      <c r="L21" t="b">
        <f>AND(1700&lt;A2,A2&lt;=1800)</f>
        <v>0</v>
      </c>
      <c r="M21" s="5">
        <v>2.4281E-06</v>
      </c>
      <c r="N21" s="5">
        <v>0.34481140906</v>
      </c>
      <c r="O21" s="5">
        <v>5486.777843175</v>
      </c>
      <c r="P21">
        <f t="shared" si="0"/>
        <v>-2.3467328865405866E-07</v>
      </c>
      <c r="R21" s="5">
        <v>1.5832E-07</v>
      </c>
      <c r="S21" s="5">
        <v>1.43049285325</v>
      </c>
      <c r="T21" s="5">
        <v>2146.1654164752</v>
      </c>
      <c r="U21">
        <f t="shared" si="1"/>
        <v>4.5330900431294306E-08</v>
      </c>
      <c r="W21" s="5">
        <v>1.675E-08</v>
      </c>
      <c r="X21" s="5">
        <v>0.90216407959</v>
      </c>
      <c r="Y21" s="5">
        <v>951.7184062506</v>
      </c>
      <c r="Z21">
        <f t="shared" si="2"/>
        <v>8.114635337562855E-09</v>
      </c>
      <c r="AB21" s="5">
        <v>5E-11</v>
      </c>
      <c r="AC21" s="5">
        <v>3.76879847273</v>
      </c>
      <c r="AD21" s="5">
        <v>12036.4607348882</v>
      </c>
      <c r="AE21">
        <f t="shared" si="3"/>
        <v>8.793898340453065E-12</v>
      </c>
      <c r="AQ21" s="5">
        <v>5.285E-08</v>
      </c>
      <c r="AR21" s="5">
        <v>2.48446991566</v>
      </c>
      <c r="AS21" s="5">
        <v>4705.7323075436</v>
      </c>
      <c r="AT21">
        <f t="shared" si="5"/>
        <v>-4.5065116261577966E-08</v>
      </c>
      <c r="AV21" s="5">
        <v>2.32E-09</v>
      </c>
      <c r="AW21" s="5">
        <v>0.26781182579</v>
      </c>
      <c r="AX21" s="5">
        <v>7058.5984613154</v>
      </c>
      <c r="AY21">
        <f t="shared" si="6"/>
        <v>2.109771086510023E-09</v>
      </c>
      <c r="BA21" s="5">
        <v>1.7E-10</v>
      </c>
      <c r="BB21" s="5">
        <v>0.66191210656</v>
      </c>
      <c r="BC21" s="5">
        <v>6283.0085396886</v>
      </c>
      <c r="BD21">
        <f t="shared" si="7"/>
        <v>-1.6865948189550562E-10</v>
      </c>
      <c r="BP21" s="5">
        <v>6.2916E-07</v>
      </c>
      <c r="BQ21" s="5">
        <v>0.92177108832</v>
      </c>
      <c r="BR21" s="5">
        <v>529.6909650946</v>
      </c>
      <c r="BS21">
        <f t="shared" si="9"/>
        <v>-9.552679388581915E-08</v>
      </c>
      <c r="BU21" s="5">
        <v>3.414E-08</v>
      </c>
      <c r="BV21" s="5">
        <v>5.41218322538</v>
      </c>
      <c r="BW21" s="5">
        <v>775.522611324</v>
      </c>
      <c r="BX21">
        <f t="shared" si="10"/>
        <v>-3.403921501767222E-08</v>
      </c>
      <c r="BZ21" s="5">
        <v>2.79E-09</v>
      </c>
      <c r="CA21" s="5">
        <v>1.84120501086</v>
      </c>
      <c r="CB21" s="5">
        <v>4694.0029547076</v>
      </c>
      <c r="CC21">
        <f t="shared" si="11"/>
        <v>-6.115393896398552E-10</v>
      </c>
      <c r="CE21" s="5">
        <v>7E-11</v>
      </c>
      <c r="CF21" s="5">
        <v>2.19184402142</v>
      </c>
      <c r="CG21" s="5">
        <v>6812.766815086</v>
      </c>
      <c r="CH21">
        <f t="shared" si="12"/>
        <v>4.1568530848403595E-11</v>
      </c>
    </row>
    <row r="22" spans="1:86" ht="12.75">
      <c r="A22">
        <f>RADIANS(F22)</f>
        <v>-3.197540293813155E-05</v>
      </c>
      <c r="B22">
        <f>F16*(-46.815+F16*(-0.00059+0.001813*F16))</f>
        <v>-6.261526310911544</v>
      </c>
      <c r="C22">
        <f>RADIANS(23.4392911+B22/3600)</f>
        <v>0.40906244729220187</v>
      </c>
      <c r="D22">
        <f>C22+A22</f>
        <v>0.4090304718892637</v>
      </c>
      <c r="E22">
        <f>9.2*COS(D19)+0.57*COS(2*B19)-0.1*COS(2*C19)-0.09*COS(2*D19)</f>
        <v>-6.5954002917065395</v>
      </c>
      <c r="F22">
        <f>E22/3600</f>
        <v>-0.0018320556365851498</v>
      </c>
      <c r="J22" t="s">
        <v>104</v>
      </c>
      <c r="K22">
        <f>K3-1700</f>
        <v>313.375</v>
      </c>
      <c r="M22" s="5">
        <v>3.17087E-06</v>
      </c>
      <c r="N22" s="5">
        <v>5.84901952218</v>
      </c>
      <c r="O22" s="5">
        <v>11790.6290886588</v>
      </c>
      <c r="P22">
        <f t="shared" si="0"/>
        <v>3.116052522582105E-06</v>
      </c>
      <c r="R22" s="5">
        <v>1.4615E-07</v>
      </c>
      <c r="S22" s="5">
        <v>1.20532366323</v>
      </c>
      <c r="T22" s="5">
        <v>10977.078804699</v>
      </c>
      <c r="U22">
        <f t="shared" si="1"/>
        <v>-1.3630068740974118E-07</v>
      </c>
      <c r="W22" s="5">
        <v>1.534E-08</v>
      </c>
      <c r="X22" s="5">
        <v>5.75900462759</v>
      </c>
      <c r="Y22" s="5">
        <v>1349.8674096588</v>
      </c>
      <c r="Z22">
        <f t="shared" si="2"/>
        <v>3.818599975063153E-09</v>
      </c>
      <c r="AB22" s="5">
        <v>5E-11</v>
      </c>
      <c r="AC22" s="5">
        <v>4.28412873331</v>
      </c>
      <c r="AD22" s="5">
        <v>6275.9623029906</v>
      </c>
      <c r="AE22">
        <f t="shared" si="3"/>
        <v>4.8310285235038895E-11</v>
      </c>
      <c r="AQ22" s="5">
        <v>5.208E-08</v>
      </c>
      <c r="AR22" s="5">
        <v>6.24992674537</v>
      </c>
      <c r="AS22" s="5">
        <v>18073.7049386502</v>
      </c>
      <c r="AT22">
        <f t="shared" si="5"/>
        <v>-5.1046468109571656E-08</v>
      </c>
      <c r="AV22" s="5">
        <v>2.16E-09</v>
      </c>
      <c r="AW22" s="5">
        <v>6.05952221329</v>
      </c>
      <c r="AX22" s="5">
        <v>10977.078804699</v>
      </c>
      <c r="AY22">
        <f t="shared" si="6"/>
        <v>-1.0564080146070975E-09</v>
      </c>
      <c r="BA22" s="5">
        <v>1.8E-10</v>
      </c>
      <c r="BB22" s="5">
        <v>3.74885333072</v>
      </c>
      <c r="BC22" s="5">
        <v>11769.8536931664</v>
      </c>
      <c r="BD22">
        <f t="shared" si="7"/>
        <v>-1.047367451668391E-10</v>
      </c>
      <c r="BP22" s="5">
        <v>5.7056E-07</v>
      </c>
      <c r="BQ22" s="5">
        <v>2.01374292014</v>
      </c>
      <c r="BR22" s="5">
        <v>83996.8473181118</v>
      </c>
      <c r="BS22">
        <f t="shared" si="9"/>
        <v>4.040549345772865E-07</v>
      </c>
      <c r="BU22" s="5">
        <v>2.863E-08</v>
      </c>
      <c r="BV22" s="5">
        <v>5.48432847146</v>
      </c>
      <c r="BW22" s="5">
        <v>10447.3878396044</v>
      </c>
      <c r="BX22">
        <f t="shared" si="10"/>
        <v>2.180145565180846E-08</v>
      </c>
      <c r="BZ22" s="5">
        <v>2.6E-09</v>
      </c>
      <c r="CA22" s="5">
        <v>1.41629543251</v>
      </c>
      <c r="CB22" s="5">
        <v>2146.1654164752</v>
      </c>
      <c r="CC22">
        <f t="shared" si="11"/>
        <v>7.090021199000044E-10</v>
      </c>
      <c r="CE22" s="5">
        <v>5E-11</v>
      </c>
      <c r="CF22" s="5">
        <v>3.15419034438</v>
      </c>
      <c r="CG22" s="5">
        <v>529.6909650946</v>
      </c>
      <c r="CH22">
        <f t="shared" si="12"/>
        <v>-3.4328163618295884E-11</v>
      </c>
    </row>
    <row r="23" spans="10:86" ht="12.75">
      <c r="J23" t="s">
        <v>98</v>
      </c>
      <c r="K23">
        <f>8.83+K22*(0.1603+K22*(-0.0059285+K22*(0.00013336-K22/1174000)))</f>
        <v>-4633.685487084723</v>
      </c>
      <c r="L23">
        <f>K23*L21</f>
        <v>0</v>
      </c>
      <c r="M23" s="5">
        <v>2.71039E-06</v>
      </c>
      <c r="N23" s="5">
        <v>0.31488607649</v>
      </c>
      <c r="O23" s="5">
        <v>10977.078804699</v>
      </c>
      <c r="P23">
        <f t="shared" si="0"/>
        <v>-2.3504903858428816E-06</v>
      </c>
      <c r="R23" s="5">
        <v>1.1877E-07</v>
      </c>
      <c r="S23" s="5">
        <v>3.25804815607</v>
      </c>
      <c r="T23" s="5">
        <v>5088.6288397668</v>
      </c>
      <c r="U23">
        <f t="shared" si="1"/>
        <v>-7.023873615329873E-08</v>
      </c>
      <c r="W23" s="5">
        <v>1.224E-08</v>
      </c>
      <c r="X23" s="5">
        <v>2.97328088405</v>
      </c>
      <c r="Y23" s="5">
        <v>2146.1654164752</v>
      </c>
      <c r="Z23">
        <f t="shared" si="2"/>
        <v>1.1821089946689486E-08</v>
      </c>
      <c r="AQ23" s="5">
        <v>4.529E-08</v>
      </c>
      <c r="AR23" s="5">
        <v>2.33827747356</v>
      </c>
      <c r="AS23" s="5">
        <v>6309.3741697912</v>
      </c>
      <c r="AT23">
        <f t="shared" si="5"/>
        <v>1.4784930654623964E-08</v>
      </c>
      <c r="AV23" s="5">
        <v>2.32E-09</v>
      </c>
      <c r="AW23" s="5">
        <v>2.93325646109</v>
      </c>
      <c r="AX23" s="5">
        <v>22003.9146348698</v>
      </c>
      <c r="AY23">
        <f t="shared" si="6"/>
        <v>-8.080618967228826E-10</v>
      </c>
      <c r="BA23" s="5">
        <v>1.7E-10</v>
      </c>
      <c r="BB23" s="5">
        <v>4.23058370776</v>
      </c>
      <c r="BC23" s="5">
        <v>10977.078804699</v>
      </c>
      <c r="BD23">
        <f t="shared" si="7"/>
        <v>1.645928759218593E-10</v>
      </c>
      <c r="BP23" s="5">
        <v>6.4903E-07</v>
      </c>
      <c r="BQ23" s="5">
        <v>0.27250613787</v>
      </c>
      <c r="BR23" s="5">
        <v>17260.1546546904</v>
      </c>
      <c r="BS23">
        <f t="shared" si="9"/>
        <v>1.4197009780089877E-07</v>
      </c>
      <c r="BU23" s="5">
        <v>2.52E-08</v>
      </c>
      <c r="BV23" s="5">
        <v>0.24276941146</v>
      </c>
      <c r="BW23" s="5">
        <v>398.1490034082</v>
      </c>
      <c r="BX23">
        <f t="shared" si="10"/>
        <v>1.9025686139859033E-08</v>
      </c>
      <c r="BZ23" s="5">
        <v>2.66E-09</v>
      </c>
      <c r="CA23" s="5">
        <v>3.13832905677</v>
      </c>
      <c r="CB23" s="5">
        <v>71430.695618129</v>
      </c>
      <c r="CC23">
        <f t="shared" si="11"/>
        <v>-2.507518017349266E-09</v>
      </c>
      <c r="CE23" s="5">
        <v>6E-11</v>
      </c>
      <c r="CF23" s="5">
        <v>4.54725567047</v>
      </c>
      <c r="CG23" s="5">
        <v>1059.3819301892</v>
      </c>
      <c r="CH23">
        <f t="shared" si="12"/>
        <v>5.946982845013864E-11</v>
      </c>
    </row>
    <row r="24" spans="1:86" ht="12.75">
      <c r="A24" t="s">
        <v>30</v>
      </c>
      <c r="B24" t="s">
        <v>31</v>
      </c>
      <c r="C24" s="6" t="s">
        <v>31</v>
      </c>
      <c r="M24" s="5">
        <v>2.0616E-06</v>
      </c>
      <c r="N24" s="5">
        <v>4.80646606059</v>
      </c>
      <c r="O24" s="5">
        <v>2544.3144198834</v>
      </c>
      <c r="P24">
        <f t="shared" si="0"/>
        <v>8.653409557408251E-07</v>
      </c>
      <c r="R24" s="5">
        <v>1.1514E-07</v>
      </c>
      <c r="S24" s="5">
        <v>2.07502418155</v>
      </c>
      <c r="T24" s="5">
        <v>4694.0029547076</v>
      </c>
      <c r="U24">
        <f t="shared" si="1"/>
        <v>-5.057932677965334E-08</v>
      </c>
      <c r="W24" s="5">
        <v>1.449E-08</v>
      </c>
      <c r="X24" s="5">
        <v>4.3641591397</v>
      </c>
      <c r="Y24" s="5">
        <v>1748.016413067</v>
      </c>
      <c r="Z24">
        <f t="shared" si="2"/>
        <v>-1.2499117540884223E-08</v>
      </c>
      <c r="AQ24" s="5">
        <v>5.579E-08</v>
      </c>
      <c r="AR24" s="5">
        <v>4.41023653738</v>
      </c>
      <c r="AS24" s="5">
        <v>7860.4193924392</v>
      </c>
      <c r="AT24">
        <f t="shared" si="5"/>
        <v>-5.111791551901638E-08</v>
      </c>
      <c r="AV24" s="5">
        <v>2.04E-09</v>
      </c>
      <c r="AW24" s="5">
        <v>3.86264841382</v>
      </c>
      <c r="AX24" s="5">
        <v>6496.3749454294</v>
      </c>
      <c r="AY24">
        <f t="shared" si="6"/>
        <v>-1.9132724094029337E-09</v>
      </c>
      <c r="BA24" s="5">
        <v>1.7E-10</v>
      </c>
      <c r="BB24" s="5">
        <v>1.78116162721</v>
      </c>
      <c r="BC24" s="5">
        <v>5486.777843175</v>
      </c>
      <c r="BD24">
        <f t="shared" si="7"/>
        <v>1.6547486262425178E-10</v>
      </c>
      <c r="BP24" s="5">
        <v>4.9384E-07</v>
      </c>
      <c r="BQ24" s="5">
        <v>3.24501240359</v>
      </c>
      <c r="BR24" s="5">
        <v>2544.3144198834</v>
      </c>
      <c r="BS24">
        <f t="shared" si="9"/>
        <v>4.501475638962913E-07</v>
      </c>
      <c r="BU24" s="5">
        <v>2.201E-08</v>
      </c>
      <c r="BV24" s="5">
        <v>4.95216196651</v>
      </c>
      <c r="BW24" s="5">
        <v>6812.766815086</v>
      </c>
      <c r="BX24">
        <f t="shared" si="10"/>
        <v>-5.542201455629159E-09</v>
      </c>
      <c r="BZ24" s="5">
        <v>3.21E-09</v>
      </c>
      <c r="CA24" s="5">
        <v>5.35313367048</v>
      </c>
      <c r="CB24" s="5">
        <v>3154.6870848956</v>
      </c>
      <c r="CC24">
        <f t="shared" si="11"/>
        <v>-2.926710574641347E-09</v>
      </c>
      <c r="CE24" s="5">
        <v>5E-11</v>
      </c>
      <c r="CF24" s="5">
        <v>1.51104406936</v>
      </c>
      <c r="CG24" s="5">
        <v>7079.3738568078</v>
      </c>
      <c r="CH24">
        <f t="shared" si="12"/>
        <v>-1.8513646766424006E-11</v>
      </c>
    </row>
    <row r="25" spans="1:86" ht="12.75">
      <c r="A25">
        <f>280.46061837+360.98564736629*(F13-2451545)+F16*F16*(0.000387933-F16/38710000)</f>
        <v>1763777.9276546107</v>
      </c>
      <c r="B25">
        <f>A25+F19*COS(D22)</f>
        <v>1763777.9306190305</v>
      </c>
      <c r="C25">
        <f>B25-INT(B25/360)*360</f>
        <v>137.93061903049238</v>
      </c>
      <c r="J25" t="s">
        <v>121</v>
      </c>
      <c r="K25" t="s">
        <v>106</v>
      </c>
      <c r="L25" t="b">
        <f>AND(1800&lt;A2,A2&lt;=1860)</f>
        <v>0</v>
      </c>
      <c r="M25" s="5">
        <v>2.05385E-06</v>
      </c>
      <c r="N25" s="5">
        <v>1.86947813692</v>
      </c>
      <c r="O25" s="5">
        <v>5573.1428014331</v>
      </c>
      <c r="P25">
        <f t="shared" si="0"/>
        <v>1.088525750216604E-06</v>
      </c>
      <c r="R25" s="5">
        <v>9.721E-08</v>
      </c>
      <c r="S25" s="5">
        <v>4.23925472239</v>
      </c>
      <c r="T25" s="5">
        <v>1349.8674096588</v>
      </c>
      <c r="U25">
        <f t="shared" si="1"/>
        <v>-9.279259799762434E-08</v>
      </c>
      <c r="W25" s="5">
        <v>1.341E-08</v>
      </c>
      <c r="X25" s="5">
        <v>3.72061130861</v>
      </c>
      <c r="Y25" s="5">
        <v>1194.4470102246</v>
      </c>
      <c r="Z25">
        <f t="shared" si="2"/>
        <v>8.882371946045377E-09</v>
      </c>
      <c r="AQ25" s="5">
        <v>4.743E-08</v>
      </c>
      <c r="AR25" s="5">
        <v>0.70995680136</v>
      </c>
      <c r="AS25" s="5">
        <v>5884.9268465832</v>
      </c>
      <c r="AT25">
        <f t="shared" si="5"/>
        <v>-3.0175784746346216E-08</v>
      </c>
      <c r="AV25" s="5">
        <v>2.02E-09</v>
      </c>
      <c r="AW25" s="5">
        <v>2.81892511133</v>
      </c>
      <c r="AX25" s="5">
        <v>15720.8387848784</v>
      </c>
      <c r="AY25">
        <f t="shared" si="6"/>
        <v>1.7297698016048276E-09</v>
      </c>
      <c r="BA25" s="5">
        <v>2.1E-10</v>
      </c>
      <c r="BB25" s="5">
        <v>1.36972913918</v>
      </c>
      <c r="BC25" s="5">
        <v>12036.4607348882</v>
      </c>
      <c r="BD25">
        <f t="shared" si="7"/>
        <v>1.1256601400033729E-10</v>
      </c>
      <c r="BP25" s="5">
        <v>5.5736E-07</v>
      </c>
      <c r="BQ25" s="5">
        <v>5.24159798933</v>
      </c>
      <c r="BR25" s="5">
        <v>71430.695618129</v>
      </c>
      <c r="BS25">
        <f t="shared" si="9"/>
        <v>4.269782759865921E-07</v>
      </c>
      <c r="BU25" s="5">
        <v>2.186E-08</v>
      </c>
      <c r="BV25" s="5">
        <v>0.41991743105</v>
      </c>
      <c r="BW25" s="5">
        <v>8031.0922630584</v>
      </c>
      <c r="BX25">
        <f t="shared" si="10"/>
        <v>1.1406044091861003E-08</v>
      </c>
      <c r="BZ25" s="5">
        <v>2.38E-09</v>
      </c>
      <c r="CA25" s="5">
        <v>2.17720020018</v>
      </c>
      <c r="CB25" s="5">
        <v>155.4203994342</v>
      </c>
      <c r="CC25">
        <f t="shared" si="11"/>
        <v>-1.0489899260316633E-09</v>
      </c>
      <c r="CE25" s="5">
        <v>7E-11</v>
      </c>
      <c r="CF25" s="5">
        <v>2.98052059053</v>
      </c>
      <c r="CG25" s="5">
        <v>6681.2248533996</v>
      </c>
      <c r="CH25">
        <f t="shared" si="12"/>
        <v>-2.3006087006493542E-11</v>
      </c>
    </row>
    <row r="26" spans="10:86" ht="12.75">
      <c r="J26" t="s">
        <v>104</v>
      </c>
      <c r="K26">
        <f>K3-1800</f>
        <v>213.375</v>
      </c>
      <c r="M26" s="5">
        <v>2.02261E-06</v>
      </c>
      <c r="N26" s="5">
        <v>2.45767795458</v>
      </c>
      <c r="O26" s="5">
        <v>6069.7767545534</v>
      </c>
      <c r="P26">
        <f t="shared" si="0"/>
        <v>-7.669449855215358E-07</v>
      </c>
      <c r="R26" s="5">
        <v>9.969E-08</v>
      </c>
      <c r="S26" s="5">
        <v>1.30262991097</v>
      </c>
      <c r="T26" s="5">
        <v>6286.5989683404</v>
      </c>
      <c r="U26">
        <f t="shared" si="1"/>
        <v>-8.429960962362125E-08</v>
      </c>
      <c r="W26" s="5">
        <v>1.254E-08</v>
      </c>
      <c r="X26" s="5">
        <v>2.94846826628</v>
      </c>
      <c r="Y26" s="5">
        <v>6438.4962494256</v>
      </c>
      <c r="Z26">
        <f t="shared" si="2"/>
        <v>5.699807734891676E-09</v>
      </c>
      <c r="AQ26" s="5">
        <v>4.301E-08</v>
      </c>
      <c r="AR26" s="5">
        <v>1.10255777773</v>
      </c>
      <c r="AS26" s="5">
        <v>6681.2248533996</v>
      </c>
      <c r="AT26">
        <f t="shared" si="5"/>
        <v>-3.4445432106431126E-08</v>
      </c>
      <c r="AV26" s="5">
        <v>1.85E-09</v>
      </c>
      <c r="AW26" s="5">
        <v>4.93512381859</v>
      </c>
      <c r="AX26" s="5">
        <v>12036.4607348882</v>
      </c>
      <c r="AY26">
        <f t="shared" si="6"/>
        <v>-1.5461685480062925E-09</v>
      </c>
      <c r="BA26" s="5">
        <v>1.7E-10</v>
      </c>
      <c r="BB26" s="5">
        <v>2.79601092529</v>
      </c>
      <c r="BC26" s="5">
        <v>796.2980068164</v>
      </c>
      <c r="BD26">
        <f t="shared" si="7"/>
        <v>1.0829607871213325E-10</v>
      </c>
      <c r="BP26" s="5">
        <v>4.2515E-07</v>
      </c>
      <c r="BQ26" s="5">
        <v>6.01110242003</v>
      </c>
      <c r="BR26" s="5">
        <v>6275.9623029906</v>
      </c>
      <c r="BS26">
        <f t="shared" si="9"/>
        <v>-1.7215245879218252E-07</v>
      </c>
      <c r="BU26" s="5">
        <v>2.838E-08</v>
      </c>
      <c r="BV26" s="5">
        <v>3.42034351366</v>
      </c>
      <c r="BW26" s="5">
        <v>2352.8661537718</v>
      </c>
      <c r="BX26">
        <f t="shared" si="10"/>
        <v>-2.6825804187172687E-08</v>
      </c>
      <c r="BZ26" s="5">
        <v>2.93E-09</v>
      </c>
      <c r="CA26" s="5">
        <v>4.61501268144</v>
      </c>
      <c r="CB26" s="5">
        <v>4690.4798363586</v>
      </c>
      <c r="CC26">
        <f t="shared" si="11"/>
        <v>-5.646393878671206E-10</v>
      </c>
      <c r="CE26" s="5">
        <v>5E-11</v>
      </c>
      <c r="CF26" s="5">
        <v>2.30961231391</v>
      </c>
      <c r="CG26" s="5">
        <v>12036.4607348882</v>
      </c>
      <c r="CH26">
        <f t="shared" si="12"/>
        <v>4.9893802690961174E-11</v>
      </c>
    </row>
    <row r="27" spans="1:86" ht="12.75">
      <c r="A27" s="4" t="s">
        <v>9</v>
      </c>
      <c r="B27" s="9" t="s">
        <v>32</v>
      </c>
      <c r="C27" s="4" t="s">
        <v>9</v>
      </c>
      <c r="D27" s="4" t="s">
        <v>9</v>
      </c>
      <c r="E27" s="4" t="s">
        <v>9</v>
      </c>
      <c r="F27" s="4" t="s">
        <v>9</v>
      </c>
      <c r="J27" t="s">
        <v>98</v>
      </c>
      <c r="K27">
        <f>13.72+K26*(-0.332447+K26*(0.0068612+K26*(0.0041116+K26*(-0.00037436+K26*(0.0000121272+K26*(-0.0000001699+0.000000000875*K26))))))</f>
        <v>6213874.921964847</v>
      </c>
      <c r="L27">
        <f>K27*L25</f>
        <v>0</v>
      </c>
      <c r="M27" s="5">
        <v>1.26184E-06</v>
      </c>
      <c r="N27" s="5">
        <v>1.0830263021</v>
      </c>
      <c r="O27" s="5">
        <v>20.7753954924</v>
      </c>
      <c r="P27">
        <f t="shared" si="0"/>
        <v>2.629177702173145E-07</v>
      </c>
      <c r="R27" s="5">
        <v>9.452E-08</v>
      </c>
      <c r="S27" s="5">
        <v>2.69957062864</v>
      </c>
      <c r="T27" s="5">
        <v>242.728603974</v>
      </c>
      <c r="U27">
        <f t="shared" si="1"/>
        <v>8.919981927089369E-08</v>
      </c>
      <c r="W27" s="5">
        <v>9.99E-09</v>
      </c>
      <c r="X27" s="5">
        <v>5.98640014468</v>
      </c>
      <c r="Y27" s="5">
        <v>6286.5989683404</v>
      </c>
      <c r="Z27">
        <f t="shared" si="2"/>
        <v>-5.088641445444465E-09</v>
      </c>
      <c r="AQ27" s="5">
        <v>3.849E-08</v>
      </c>
      <c r="AR27" s="5">
        <v>1.82229412531</v>
      </c>
      <c r="AS27" s="5">
        <v>5486.777843175</v>
      </c>
      <c r="AT27">
        <f t="shared" si="5"/>
        <v>3.779651660825908E-08</v>
      </c>
      <c r="AV27" s="5">
        <v>2.2E-09</v>
      </c>
      <c r="AW27" s="5">
        <v>3.99305643742</v>
      </c>
      <c r="AX27" s="5">
        <v>6812.766815086</v>
      </c>
      <c r="AY27">
        <f t="shared" si="6"/>
        <v>1.4249401924043413E-09</v>
      </c>
      <c r="BA27" s="5">
        <v>1.5E-10</v>
      </c>
      <c r="BB27" s="5">
        <v>0.4308784885</v>
      </c>
      <c r="BC27" s="5">
        <v>11790.6290886588</v>
      </c>
      <c r="BD27">
        <f t="shared" si="7"/>
        <v>7.447184442909266E-11</v>
      </c>
      <c r="BP27" s="5">
        <v>4.6963E-07</v>
      </c>
      <c r="BQ27" s="5">
        <v>2.57805070386</v>
      </c>
      <c r="BR27" s="5">
        <v>775.522611324</v>
      </c>
      <c r="BS27">
        <f t="shared" si="9"/>
        <v>4.3537254248265205E-07</v>
      </c>
      <c r="BU27" s="5">
        <v>2.554E-08</v>
      </c>
      <c r="BV27" s="5">
        <v>6.13241878525</v>
      </c>
      <c r="BW27" s="5">
        <v>6438.4962494256</v>
      </c>
      <c r="BX27">
        <f t="shared" si="10"/>
        <v>-1.0634964006295289E-08</v>
      </c>
      <c r="BZ27" s="5">
        <v>2.29E-09</v>
      </c>
      <c r="CA27" s="5">
        <v>4.7596958807</v>
      </c>
      <c r="CB27" s="5">
        <v>7234.794256242</v>
      </c>
      <c r="CC27">
        <f t="shared" si="11"/>
        <v>1.2482211069776502E-09</v>
      </c>
      <c r="CE27" s="5">
        <v>5E-11</v>
      </c>
      <c r="CF27" s="5">
        <v>3.71102966917</v>
      </c>
      <c r="CG27" s="5">
        <v>6290.1893969922</v>
      </c>
      <c r="CH27">
        <f t="shared" si="12"/>
        <v>4.962778038339418E-11</v>
      </c>
    </row>
    <row r="28" spans="13:81" ht="12.75">
      <c r="M28" s="5">
        <v>1.55516E-06</v>
      </c>
      <c r="N28" s="5">
        <v>0.83306073807</v>
      </c>
      <c r="O28" s="5">
        <v>213.299095438</v>
      </c>
      <c r="P28">
        <f t="shared" si="0"/>
        <v>-1.3303836877103591E-06</v>
      </c>
      <c r="R28" s="5">
        <v>1.2461E-07</v>
      </c>
      <c r="S28" s="5">
        <v>2.83432285512</v>
      </c>
      <c r="T28" s="5">
        <v>1748.016413067</v>
      </c>
      <c r="U28">
        <f t="shared" si="1"/>
        <v>5.8583495180376776E-08</v>
      </c>
      <c r="W28" s="5">
        <v>9.17E-09</v>
      </c>
      <c r="X28" s="5">
        <v>4.79788687522</v>
      </c>
      <c r="Y28" s="5">
        <v>5088.6288397668</v>
      </c>
      <c r="Z28">
        <f t="shared" si="2"/>
        <v>-7.558906795499181E-09</v>
      </c>
      <c r="AQ28" s="5">
        <v>4.093E-08</v>
      </c>
      <c r="AR28" s="5">
        <v>5.11700141207</v>
      </c>
      <c r="AS28" s="5">
        <v>13367.9726311066</v>
      </c>
      <c r="AT28">
        <f t="shared" si="5"/>
        <v>-5.340844085362559E-09</v>
      </c>
      <c r="AV28" s="5">
        <v>1.66E-09</v>
      </c>
      <c r="AW28" s="5">
        <v>1.74970002999</v>
      </c>
      <c r="AX28" s="5">
        <v>11506.7697697936</v>
      </c>
      <c r="AY28">
        <f t="shared" si="6"/>
        <v>2.3862482201631495E-10</v>
      </c>
      <c r="BA28" s="5">
        <v>1.7E-10</v>
      </c>
      <c r="BB28" s="5">
        <v>1.35132152761</v>
      </c>
      <c r="BC28" s="5">
        <v>78051.5857313169</v>
      </c>
      <c r="BD28">
        <f t="shared" si="7"/>
        <v>-1.1133058952628863E-10</v>
      </c>
      <c r="BP28" s="5">
        <v>3.8968E-07</v>
      </c>
      <c r="BQ28" s="5">
        <v>5.36071738169</v>
      </c>
      <c r="BR28" s="5">
        <v>4694.0029547076</v>
      </c>
      <c r="BS28">
        <f t="shared" si="9"/>
        <v>2.1967714581456206E-07</v>
      </c>
      <c r="BU28" s="5">
        <v>1.932E-08</v>
      </c>
      <c r="BV28" s="5">
        <v>5.31374608366</v>
      </c>
      <c r="BW28" s="5">
        <v>8429.2412664666</v>
      </c>
      <c r="BX28">
        <f t="shared" si="10"/>
        <v>4.693174989977663E-09</v>
      </c>
      <c r="BZ28" s="5">
        <v>2.11E-09</v>
      </c>
      <c r="CA28" s="5">
        <v>0.21868065485</v>
      </c>
      <c r="CB28" s="5">
        <v>4705.7323075436</v>
      </c>
      <c r="CC28">
        <f t="shared" si="11"/>
        <v>1.998776131999008E-09</v>
      </c>
    </row>
    <row r="29" spans="1:81" ht="12.75">
      <c r="A29" t="s">
        <v>33</v>
      </c>
      <c r="B29" t="s">
        <v>34</v>
      </c>
      <c r="C29" t="s">
        <v>35</v>
      </c>
      <c r="D29" t="s">
        <v>36</v>
      </c>
      <c r="E29" t="s">
        <v>37</v>
      </c>
      <c r="F29" t="s">
        <v>38</v>
      </c>
      <c r="J29" t="s">
        <v>107</v>
      </c>
      <c r="K29" t="s">
        <v>108</v>
      </c>
      <c r="L29" t="b">
        <f>AND(1860&lt;A2,A2&lt;=1900)</f>
        <v>0</v>
      </c>
      <c r="M29" s="5">
        <v>1.15132E-06</v>
      </c>
      <c r="N29" s="5">
        <v>0.64544911683</v>
      </c>
      <c r="O29" s="5">
        <v>0.9803210682</v>
      </c>
      <c r="P29">
        <f t="shared" si="0"/>
        <v>9.105487371467313E-07</v>
      </c>
      <c r="R29" s="5">
        <v>1.1808E-07</v>
      </c>
      <c r="S29" s="5">
        <v>5.2737979048</v>
      </c>
      <c r="T29" s="5">
        <v>1194.4470102246</v>
      </c>
      <c r="U29">
        <f t="shared" si="1"/>
        <v>-8.70719338642899E-08</v>
      </c>
      <c r="W29" s="5">
        <v>8.28E-09</v>
      </c>
      <c r="X29" s="5">
        <v>3.31321076572</v>
      </c>
      <c r="Y29" s="5">
        <v>213.299095438</v>
      </c>
      <c r="Z29">
        <f t="shared" si="2"/>
        <v>8.223302397057244E-09</v>
      </c>
      <c r="AQ29" s="5">
        <v>3.681E-08</v>
      </c>
      <c r="AR29" s="5">
        <v>0.43793170356</v>
      </c>
      <c r="AS29" s="5">
        <v>3154.6870848956</v>
      </c>
      <c r="AT29">
        <f t="shared" si="5"/>
        <v>8.049697280488955E-09</v>
      </c>
      <c r="AV29" s="5">
        <v>2.12E-09</v>
      </c>
      <c r="AW29" s="5">
        <v>1.57166285369</v>
      </c>
      <c r="AX29" s="5">
        <v>4694.0029547076</v>
      </c>
      <c r="AY29">
        <f t="shared" si="6"/>
        <v>1.0290296237280069E-10</v>
      </c>
      <c r="BA29" s="5">
        <v>1.5E-10</v>
      </c>
      <c r="BB29" s="5">
        <v>1.17032155085</v>
      </c>
      <c r="BC29" s="5">
        <v>213.299095438</v>
      </c>
      <c r="BD29">
        <f t="shared" si="7"/>
        <v>-9.538634419568001E-11</v>
      </c>
      <c r="BP29" s="5">
        <v>4.4661E-07</v>
      </c>
      <c r="BQ29" s="5">
        <v>5.53715807302</v>
      </c>
      <c r="BR29" s="5">
        <v>9437.762934887</v>
      </c>
      <c r="BS29">
        <f t="shared" si="9"/>
        <v>4.394443163417601E-07</v>
      </c>
      <c r="BU29" s="5">
        <v>2.429E-08</v>
      </c>
      <c r="BV29" s="5">
        <v>3.09164528262</v>
      </c>
      <c r="BW29" s="5">
        <v>4690.4798363586</v>
      </c>
      <c r="BX29">
        <f t="shared" si="10"/>
        <v>-2.402982837994155E-08</v>
      </c>
      <c r="BZ29" s="5">
        <v>2.01E-09</v>
      </c>
      <c r="CA29" s="5">
        <v>4.21905743357</v>
      </c>
      <c r="CB29" s="5">
        <v>1349.8674096588</v>
      </c>
      <c r="CC29">
        <f t="shared" si="11"/>
        <v>-1.9303685123950175E-09</v>
      </c>
    </row>
    <row r="30" spans="1:81" ht="12.75">
      <c r="A30">
        <f>SUM(P1:P559)</f>
        <v>1.777673796289498</v>
      </c>
      <c r="B30">
        <f>SUM(U1:U341)</f>
        <v>6283.320337043916</v>
      </c>
      <c r="C30">
        <f>SUM(Z1:Z142)</f>
        <v>0.0004484274878189202</v>
      </c>
      <c r="D30">
        <f>SUM(AE1:AE22)</f>
        <v>-7.291633883040955E-07</v>
      </c>
      <c r="E30">
        <f>SUM(AJ1:AJ11)</f>
        <v>-1.0742792978162831E-06</v>
      </c>
      <c r="F30">
        <f>SUM(AO1:AO5)</f>
        <v>-8.204441549141317E-09</v>
      </c>
      <c r="J30" t="s">
        <v>104</v>
      </c>
      <c r="K30">
        <f>K3-1860</f>
        <v>153.375</v>
      </c>
      <c r="M30" s="5">
        <v>1.02851E-06</v>
      </c>
      <c r="N30" s="5">
        <v>0.63599846727</v>
      </c>
      <c r="O30" s="5">
        <v>4694.0029547076</v>
      </c>
      <c r="P30">
        <f t="shared" si="0"/>
        <v>8.565863694949993E-07</v>
      </c>
      <c r="R30" s="5">
        <v>8.577E-08</v>
      </c>
      <c r="S30" s="5">
        <v>5.64475868067</v>
      </c>
      <c r="T30" s="5">
        <v>951.7184062506</v>
      </c>
      <c r="U30">
        <f t="shared" si="1"/>
        <v>7.625362374206239E-08</v>
      </c>
      <c r="W30" s="5">
        <v>1.103E-08</v>
      </c>
      <c r="X30" s="5">
        <v>1.27104454479</v>
      </c>
      <c r="Y30" s="5">
        <v>161000.685737674</v>
      </c>
      <c r="Z30">
        <f t="shared" si="2"/>
        <v>9.821062847654306E-09</v>
      </c>
      <c r="AQ30" s="5">
        <v>3.42E-08</v>
      </c>
      <c r="AR30" s="5">
        <v>5.42034800952</v>
      </c>
      <c r="AS30" s="5">
        <v>6069.7767545534</v>
      </c>
      <c r="AT30">
        <f t="shared" si="5"/>
        <v>7.129115333869529E-09</v>
      </c>
      <c r="AV30" s="5">
        <v>1.57E-09</v>
      </c>
      <c r="AW30" s="5">
        <v>1.08259734788</v>
      </c>
      <c r="AX30" s="5">
        <v>5643.1785636774</v>
      </c>
      <c r="AY30">
        <f t="shared" si="6"/>
        <v>6.240054939233698E-10</v>
      </c>
      <c r="BA30" s="5">
        <v>1.8E-10</v>
      </c>
      <c r="BB30" s="5">
        <v>2.85221514199</v>
      </c>
      <c r="BC30" s="5">
        <v>5088.6288397668</v>
      </c>
      <c r="BD30">
        <f t="shared" si="7"/>
        <v>-4.049975692829136E-11</v>
      </c>
      <c r="BP30" s="5">
        <v>3.566E-07</v>
      </c>
      <c r="BQ30" s="5">
        <v>1.67468058995</v>
      </c>
      <c r="BR30" s="5">
        <v>12036.4607348882</v>
      </c>
      <c r="BS30">
        <f t="shared" si="9"/>
        <v>2.727153562715352E-07</v>
      </c>
      <c r="BU30" s="5">
        <v>1.73E-08</v>
      </c>
      <c r="BV30" s="5">
        <v>1.5368620855</v>
      </c>
      <c r="BW30" s="5">
        <v>4705.7323075436</v>
      </c>
      <c r="BX30">
        <f t="shared" si="10"/>
        <v>-1.270775681333864E-09</v>
      </c>
      <c r="BZ30" s="5">
        <v>1.95E-09</v>
      </c>
      <c r="CA30" s="5">
        <v>4.57808285364</v>
      </c>
      <c r="CB30" s="5">
        <v>529.6909650946</v>
      </c>
      <c r="CC30">
        <f t="shared" si="11"/>
        <v>1.2065477157132013E-09</v>
      </c>
    </row>
    <row r="31" spans="10:81" ht="12.75">
      <c r="J31" t="s">
        <v>98</v>
      </c>
      <c r="K31">
        <f>7.62+K30*(0.5737+K30*(-0.251754+K30*(0.01680668+K30*(-0.0004473624+K30/233174))))</f>
        <v>171245.79082589812</v>
      </c>
      <c r="L31">
        <f>K31*L29</f>
        <v>0</v>
      </c>
      <c r="M31" s="5">
        <v>1.01724E-06</v>
      </c>
      <c r="N31" s="5">
        <v>4.26679821365</v>
      </c>
      <c r="O31" s="5">
        <v>7.1135470008</v>
      </c>
      <c r="P31">
        <f t="shared" si="0"/>
        <v>-3.4923634071035887E-07</v>
      </c>
      <c r="R31" s="5">
        <v>1.0641E-07</v>
      </c>
      <c r="S31" s="5">
        <v>0.76614199202</v>
      </c>
      <c r="T31" s="5">
        <v>553.5694028424</v>
      </c>
      <c r="U31">
        <f t="shared" si="1"/>
        <v>-3.308566826154422E-08</v>
      </c>
      <c r="W31" s="5">
        <v>7.62E-09</v>
      </c>
      <c r="X31" s="5">
        <v>3.41582762988</v>
      </c>
      <c r="Y31" s="5">
        <v>5486.777843175</v>
      </c>
      <c r="Z31">
        <f t="shared" si="2"/>
        <v>1.2694619988487626E-09</v>
      </c>
      <c r="AQ31" s="5">
        <v>3.617E-08</v>
      </c>
      <c r="AR31" s="5">
        <v>6.04641937526</v>
      </c>
      <c r="AS31" s="5">
        <v>3930.2096962196</v>
      </c>
      <c r="AT31">
        <f t="shared" si="5"/>
        <v>-1.7138152545481055E-08</v>
      </c>
      <c r="AV31" s="5">
        <v>1.54E-09</v>
      </c>
      <c r="AW31" s="5">
        <v>5.99434678412</v>
      </c>
      <c r="AX31" s="5">
        <v>5486.777843175</v>
      </c>
      <c r="AY31">
        <f t="shared" si="6"/>
        <v>-1.0274955095462479E-09</v>
      </c>
      <c r="BA31" s="5">
        <v>1.7E-10</v>
      </c>
      <c r="BB31" s="5">
        <v>0.21780913672</v>
      </c>
      <c r="BC31" s="5">
        <v>6283.14316029419</v>
      </c>
      <c r="BD31">
        <f t="shared" si="7"/>
        <v>-1.4330937808580335E-10</v>
      </c>
      <c r="BP31" s="5">
        <v>3.1921E-07</v>
      </c>
      <c r="BQ31" s="5">
        <v>0.18368229781</v>
      </c>
      <c r="BR31" s="5">
        <v>5088.6288397668</v>
      </c>
      <c r="BS31">
        <f t="shared" si="9"/>
        <v>2.056410843103184E-07</v>
      </c>
      <c r="BU31" s="5">
        <v>2.25E-08</v>
      </c>
      <c r="BV31" s="5">
        <v>3.68863633842</v>
      </c>
      <c r="BW31" s="5">
        <v>7084.8967811152</v>
      </c>
      <c r="BX31">
        <f t="shared" si="10"/>
        <v>-1.100024913126451E-08</v>
      </c>
      <c r="BZ31" s="5">
        <v>2.53E-09</v>
      </c>
      <c r="CA31" s="5">
        <v>2.81496293039</v>
      </c>
      <c r="CB31" s="5">
        <v>1748.016413067</v>
      </c>
      <c r="CC31">
        <f t="shared" si="11"/>
        <v>1.2324454228168458E-09</v>
      </c>
    </row>
    <row r="32" spans="1:81" ht="12.75">
      <c r="A32" t="s">
        <v>39</v>
      </c>
      <c r="B32" t="s">
        <v>40</v>
      </c>
      <c r="C32" t="s">
        <v>41</v>
      </c>
      <c r="D32" t="s">
        <v>42</v>
      </c>
      <c r="E32" t="s">
        <v>43</v>
      </c>
      <c r="F32" t="s">
        <v>44</v>
      </c>
      <c r="M32" s="5">
        <v>9.9206E-07</v>
      </c>
      <c r="N32" s="5">
        <v>6.20992940258</v>
      </c>
      <c r="O32" s="5">
        <v>2146.1654164752</v>
      </c>
      <c r="P32">
        <f t="shared" si="0"/>
        <v>-9.293587659723515E-07</v>
      </c>
      <c r="R32" s="5">
        <v>7.576E-08</v>
      </c>
      <c r="S32" s="5">
        <v>5.30062664886</v>
      </c>
      <c r="T32" s="5">
        <v>2352.8661537718</v>
      </c>
      <c r="U32">
        <f t="shared" si="1"/>
        <v>4.536287740438424E-08</v>
      </c>
      <c r="W32" s="5">
        <v>1.044E-08</v>
      </c>
      <c r="X32" s="5">
        <v>0.60409577691</v>
      </c>
      <c r="Y32" s="5">
        <v>3154.6870848956</v>
      </c>
      <c r="Z32">
        <f t="shared" si="2"/>
        <v>3.936584396715307E-09</v>
      </c>
      <c r="AQ32" s="5">
        <v>3.67E-08</v>
      </c>
      <c r="AR32" s="5">
        <v>4.58210192227</v>
      </c>
      <c r="AS32" s="5">
        <v>12194.0329146209</v>
      </c>
      <c r="AT32">
        <f t="shared" si="5"/>
        <v>-1.4208935505394349E-08</v>
      </c>
      <c r="AV32" s="5">
        <v>1.44E-09</v>
      </c>
      <c r="AW32" s="5">
        <v>5.23285656085</v>
      </c>
      <c r="AX32" s="5">
        <v>78051.5857313169</v>
      </c>
      <c r="AY32">
        <f t="shared" si="6"/>
        <v>1.4301849858220003E-09</v>
      </c>
      <c r="BA32" s="5">
        <v>1.3E-10</v>
      </c>
      <c r="BB32" s="5">
        <v>1.21201504386</v>
      </c>
      <c r="BC32" s="5">
        <v>25132.3033999656</v>
      </c>
      <c r="BD32">
        <f t="shared" si="7"/>
        <v>-4.626907453533457E-11</v>
      </c>
      <c r="BP32" s="5">
        <v>3.1846E-07</v>
      </c>
      <c r="BQ32" s="5">
        <v>1.77775642085</v>
      </c>
      <c r="BR32" s="5">
        <v>398.1490034082</v>
      </c>
      <c r="BS32">
        <f t="shared" si="9"/>
        <v>2.173007212678921E-07</v>
      </c>
      <c r="BU32" s="5">
        <v>2.093E-08</v>
      </c>
      <c r="BV32" s="5">
        <v>1.28191783032</v>
      </c>
      <c r="BW32" s="5">
        <v>1748.016413067</v>
      </c>
      <c r="BX32">
        <f t="shared" si="10"/>
        <v>1.865054041665915E-08</v>
      </c>
      <c r="BZ32" s="5">
        <v>1.82E-09</v>
      </c>
      <c r="CA32" s="5">
        <v>5.70454011389</v>
      </c>
      <c r="CB32" s="5">
        <v>6040.3472460174</v>
      </c>
      <c r="CC32">
        <f t="shared" si="11"/>
        <v>1.8272028202444074E-10</v>
      </c>
    </row>
    <row r="33" spans="1:81" ht="12.75">
      <c r="A33">
        <f>SUM(AT1:AT184)</f>
        <v>2.235961069972666E-06</v>
      </c>
      <c r="B33">
        <f>SUM(AY1:AY99)</f>
        <v>-9.231768791341076E-08</v>
      </c>
      <c r="C33">
        <f>SUM(BD1:BD49)</f>
        <v>4.01056063393605E-09</v>
      </c>
      <c r="D33">
        <f>SUM(BI1:BI11)</f>
        <v>2.0721236301316985E-11</v>
      </c>
      <c r="E33">
        <f>SUM(BN1:BN5)</f>
        <v>-6.58808894782004E-11</v>
      </c>
      <c r="F33">
        <v>0</v>
      </c>
      <c r="J33" t="s">
        <v>122</v>
      </c>
      <c r="K33" t="s">
        <v>109</v>
      </c>
      <c r="L33" t="b">
        <f>AND(1900&lt;A2,A2&lt;=1920)</f>
        <v>0</v>
      </c>
      <c r="M33" s="5">
        <v>1.32212E-06</v>
      </c>
      <c r="N33" s="5">
        <v>3.41118275555</v>
      </c>
      <c r="O33" s="5">
        <v>2942.4634232916</v>
      </c>
      <c r="P33">
        <f t="shared" si="0"/>
        <v>4.598254635438946E-07</v>
      </c>
      <c r="R33" s="5">
        <v>5.834E-08</v>
      </c>
      <c r="S33" s="5">
        <v>1.76649917904</v>
      </c>
      <c r="T33" s="5">
        <v>1059.3819301892</v>
      </c>
      <c r="U33">
        <f t="shared" si="1"/>
        <v>-5.6832813134283475E-08</v>
      </c>
      <c r="W33" s="5">
        <v>8.87E-09</v>
      </c>
      <c r="X33" s="5">
        <v>5.23465144638</v>
      </c>
      <c r="Y33" s="5">
        <v>7084.8967811152</v>
      </c>
      <c r="Z33">
        <f t="shared" si="2"/>
        <v>7.6278249668872E-09</v>
      </c>
      <c r="AQ33" s="5">
        <v>2.918E-08</v>
      </c>
      <c r="AR33" s="5">
        <v>1.95463881126</v>
      </c>
      <c r="AS33" s="5">
        <v>10977.078804699</v>
      </c>
      <c r="AT33">
        <f t="shared" si="5"/>
        <v>-1.2751606802655443E-08</v>
      </c>
      <c r="AV33" s="5">
        <v>1.44E-09</v>
      </c>
      <c r="AW33" s="5">
        <v>1.16454655948</v>
      </c>
      <c r="AX33" s="5">
        <v>90617.7374312997</v>
      </c>
      <c r="AY33">
        <f t="shared" si="6"/>
        <v>1.2462828091676184E-09</v>
      </c>
      <c r="BA33" s="5">
        <v>1.2E-10</v>
      </c>
      <c r="BB33" s="5">
        <v>1.12953712197</v>
      </c>
      <c r="BC33" s="5">
        <v>90617.7374312997</v>
      </c>
      <c r="BD33">
        <f t="shared" si="7"/>
        <v>1.0589740293999876E-10</v>
      </c>
      <c r="BP33" s="5">
        <v>3.3193E-07</v>
      </c>
      <c r="BQ33" s="5">
        <v>0.24370300098</v>
      </c>
      <c r="BR33" s="5">
        <v>7084.8967811152</v>
      </c>
      <c r="BS33">
        <f t="shared" si="9"/>
        <v>2.413646819828716E-07</v>
      </c>
      <c r="BU33" s="5">
        <v>1.441E-08</v>
      </c>
      <c r="BV33" s="5">
        <v>0.81656250862</v>
      </c>
      <c r="BW33" s="5">
        <v>14143.4952424306</v>
      </c>
      <c r="BX33">
        <f t="shared" si="10"/>
        <v>1.1533793091103838E-09</v>
      </c>
      <c r="BZ33" s="5">
        <v>1.79E-09</v>
      </c>
      <c r="CA33" s="5">
        <v>6.02897097053</v>
      </c>
      <c r="CB33" s="5">
        <v>4292.3308329504</v>
      </c>
      <c r="CC33">
        <f t="shared" si="11"/>
        <v>1.4700663301710798E-09</v>
      </c>
    </row>
    <row r="34" spans="10:81" ht="12.75">
      <c r="J34" t="s">
        <v>104</v>
      </c>
      <c r="K34">
        <f>K3-1900</f>
        <v>113.375</v>
      </c>
      <c r="M34" s="5">
        <v>9.7607E-07</v>
      </c>
      <c r="N34" s="5">
        <v>0.6810127227</v>
      </c>
      <c r="O34" s="5">
        <v>155.4203994342</v>
      </c>
      <c r="P34">
        <f t="shared" si="0"/>
        <v>-9.057785443228378E-07</v>
      </c>
      <c r="R34" s="5">
        <v>6.385E-08</v>
      </c>
      <c r="S34" s="5">
        <v>2.65033984967</v>
      </c>
      <c r="T34" s="5">
        <v>9437.762934887</v>
      </c>
      <c r="U34">
        <f t="shared" si="1"/>
        <v>-6.366859011256489E-08</v>
      </c>
      <c r="W34" s="5">
        <v>6.45E-09</v>
      </c>
      <c r="X34" s="5">
        <v>1.60096192515</v>
      </c>
      <c r="Y34" s="5">
        <v>2544.3144198834</v>
      </c>
      <c r="Z34">
        <f t="shared" si="2"/>
        <v>-3.0757133984613867E-09</v>
      </c>
      <c r="AQ34" s="5">
        <v>2.797E-08</v>
      </c>
      <c r="AR34" s="5">
        <v>5.61259275048</v>
      </c>
      <c r="AS34" s="5">
        <v>11790.6290886588</v>
      </c>
      <c r="AT34">
        <f t="shared" si="5"/>
        <v>2.793474709496306E-08</v>
      </c>
      <c r="AV34" s="5">
        <v>1.37E-09</v>
      </c>
      <c r="AW34" s="5">
        <v>2.67760436027</v>
      </c>
      <c r="AX34" s="5">
        <v>6290.1893969922</v>
      </c>
      <c r="AY34">
        <f t="shared" si="6"/>
        <v>5.527156887701511E-10</v>
      </c>
      <c r="BA34" s="5">
        <v>1.2E-10</v>
      </c>
      <c r="BB34" s="5">
        <v>5.13714452592</v>
      </c>
      <c r="BC34" s="5">
        <v>7079.3738568078</v>
      </c>
      <c r="BD34">
        <f t="shared" si="7"/>
        <v>9.123878994249678E-11</v>
      </c>
      <c r="BP34" s="5">
        <v>3.8245E-07</v>
      </c>
      <c r="BQ34" s="5">
        <v>2.39255343974</v>
      </c>
      <c r="BR34" s="5">
        <v>8827.3902698748</v>
      </c>
      <c r="BS34">
        <f t="shared" si="9"/>
        <v>1.807186032047868E-07</v>
      </c>
      <c r="BU34" s="5">
        <v>1.483E-08</v>
      </c>
      <c r="BV34" s="5">
        <v>3.22225357771</v>
      </c>
      <c r="BW34" s="5">
        <v>7234.794256242</v>
      </c>
      <c r="BX34">
        <f t="shared" si="10"/>
        <v>1.2695936733264947E-08</v>
      </c>
      <c r="BZ34" s="5">
        <v>1.86E-09</v>
      </c>
      <c r="CA34" s="5">
        <v>1.58690991244</v>
      </c>
      <c r="CB34" s="5">
        <v>6309.3741697912</v>
      </c>
      <c r="CC34">
        <f t="shared" si="11"/>
        <v>-7.564331946502358E-10</v>
      </c>
    </row>
    <row r="35" spans="1:81" ht="12.75">
      <c r="A35" t="s">
        <v>45</v>
      </c>
      <c r="B35" t="s">
        <v>46</v>
      </c>
      <c r="C35" t="s">
        <v>47</v>
      </c>
      <c r="D35" t="s">
        <v>48</v>
      </c>
      <c r="E35" t="s">
        <v>49</v>
      </c>
      <c r="F35" t="s">
        <v>50</v>
      </c>
      <c r="J35" t="s">
        <v>98</v>
      </c>
      <c r="K35">
        <f>-2.79+K34*(1.494119+K34*(-0.0598939+K34*(0.0061966-0.000197*K34)))</f>
        <v>-24121.731011284424</v>
      </c>
      <c r="L35">
        <f>K35*L33</f>
        <v>0</v>
      </c>
      <c r="M35" s="5">
        <v>8.5128E-07</v>
      </c>
      <c r="N35" s="5">
        <v>1.29870743025</v>
      </c>
      <c r="O35" s="5">
        <v>6275.9623029906</v>
      </c>
      <c r="P35">
        <f t="shared" si="0"/>
        <v>-7.78371102330884E-07</v>
      </c>
      <c r="R35" s="5">
        <v>5.223E-08</v>
      </c>
      <c r="S35" s="5">
        <v>5.66135767624</v>
      </c>
      <c r="T35" s="5">
        <v>71430.695618129</v>
      </c>
      <c r="U35">
        <f t="shared" si="1"/>
        <v>5.0219988187308636E-08</v>
      </c>
      <c r="W35" s="5">
        <v>6.81E-09</v>
      </c>
      <c r="X35" s="5">
        <v>3.43155669169</v>
      </c>
      <c r="Y35" s="5">
        <v>4694.0029547076</v>
      </c>
      <c r="Z35">
        <f t="shared" si="2"/>
        <v>-6.613937656080513E-09</v>
      </c>
      <c r="AQ35" s="5">
        <v>2.502E-08</v>
      </c>
      <c r="AR35" s="5">
        <v>0.60499729367</v>
      </c>
      <c r="AS35" s="5">
        <v>6496.3749454294</v>
      </c>
      <c r="AT35">
        <f t="shared" si="5"/>
        <v>2.2302617707537482E-08</v>
      </c>
      <c r="AV35" s="5">
        <v>1.8E-09</v>
      </c>
      <c r="AW35" s="5">
        <v>2.06509026215</v>
      </c>
      <c r="AX35" s="5">
        <v>7084.8967811152</v>
      </c>
      <c r="AY35">
        <f t="shared" si="6"/>
        <v>-1.5216283594745943E-09</v>
      </c>
      <c r="BA35" s="5">
        <v>1.3E-10</v>
      </c>
      <c r="BB35" s="5">
        <v>3.79842135217</v>
      </c>
      <c r="BC35" s="5">
        <v>4933.2084403326</v>
      </c>
      <c r="BD35">
        <f t="shared" si="7"/>
        <v>1.0228379855237143E-10</v>
      </c>
      <c r="BP35" s="5">
        <v>2.8464E-07</v>
      </c>
      <c r="BQ35" s="5">
        <v>1.21344868176</v>
      </c>
      <c r="BR35" s="5">
        <v>6286.5989683404</v>
      </c>
      <c r="BS35">
        <f t="shared" si="9"/>
        <v>-2.5327208213417947E-07</v>
      </c>
      <c r="BU35" s="5">
        <v>1.754E-08</v>
      </c>
      <c r="BV35" s="5">
        <v>3.22883705112</v>
      </c>
      <c r="BW35" s="5">
        <v>6279.5527316424</v>
      </c>
      <c r="BX35">
        <f t="shared" si="10"/>
        <v>1.2874949480891559E-08</v>
      </c>
      <c r="BZ35" s="5">
        <v>1.7E-09</v>
      </c>
      <c r="CA35" s="5">
        <v>2.90220009715</v>
      </c>
      <c r="CB35" s="5">
        <v>9437.762934887</v>
      </c>
      <c r="CC35">
        <f t="shared" si="11"/>
        <v>-1.6097755287511198E-09</v>
      </c>
    </row>
    <row r="36" spans="1:81" ht="12.75">
      <c r="A36">
        <f>SUM(BS1:BS526)</f>
        <v>1.0114315402145606</v>
      </c>
      <c r="B36">
        <f>SUM(BX1:BX292)</f>
        <v>-0.0009699497625910925</v>
      </c>
      <c r="C36">
        <f>SUM(CC1:CC139)</f>
        <v>-1.3070918875443293E-05</v>
      </c>
      <c r="D36">
        <f>SUM(CH1:CH27)</f>
        <v>1.3214893235340228E-06</v>
      </c>
      <c r="E36">
        <f>SUM(CM1:CM10)</f>
        <v>9.4685717027326E-09</v>
      </c>
      <c r="F36">
        <f>SUM(CR1:CR3)</f>
        <v>-7.050852494259816E-10</v>
      </c>
      <c r="M36" s="5">
        <v>7.4651E-07</v>
      </c>
      <c r="N36" s="5">
        <v>1.75508916159</v>
      </c>
      <c r="O36" s="5">
        <v>5088.6288397668</v>
      </c>
      <c r="P36">
        <f t="shared" si="0"/>
        <v>5.706679159940235E-07</v>
      </c>
      <c r="R36" s="5">
        <v>5.305E-08</v>
      </c>
      <c r="S36" s="5">
        <v>0.90857521574</v>
      </c>
      <c r="T36" s="5">
        <v>3154.6870848956</v>
      </c>
      <c r="U36">
        <f t="shared" si="1"/>
        <v>3.381358742630873E-08</v>
      </c>
      <c r="W36" s="5">
        <v>6.05E-09</v>
      </c>
      <c r="X36" s="5">
        <v>2.47806340546</v>
      </c>
      <c r="Y36" s="5">
        <v>10977.078804699</v>
      </c>
      <c r="Z36">
        <f t="shared" si="2"/>
        <v>4.3019089828531835E-10</v>
      </c>
      <c r="AQ36" s="5">
        <v>2.319E-08</v>
      </c>
      <c r="AR36" s="5">
        <v>5.01648216014</v>
      </c>
      <c r="AS36" s="5">
        <v>1059.3819301892</v>
      </c>
      <c r="AT36">
        <f t="shared" si="5"/>
        <v>2.189178007222513E-08</v>
      </c>
      <c r="AV36" s="5">
        <v>1.21E-09</v>
      </c>
      <c r="AW36" s="5">
        <v>5.90212574947</v>
      </c>
      <c r="AX36" s="5">
        <v>9225.539273283</v>
      </c>
      <c r="AY36">
        <f t="shared" si="6"/>
        <v>-1.06836922216486E-09</v>
      </c>
      <c r="BA36" s="5">
        <v>1.2E-10</v>
      </c>
      <c r="BB36" s="5">
        <v>4.89407978213</v>
      </c>
      <c r="BC36" s="5">
        <v>3738.761430108</v>
      </c>
      <c r="BD36">
        <f t="shared" si="7"/>
        <v>-9.32023960354023E-12</v>
      </c>
      <c r="BP36" s="5">
        <v>3.749E-07</v>
      </c>
      <c r="BQ36" s="5">
        <v>0.82952922332</v>
      </c>
      <c r="BR36" s="5">
        <v>19651.048481098</v>
      </c>
      <c r="BS36">
        <f t="shared" si="9"/>
        <v>3.6495053743376757E-07</v>
      </c>
      <c r="BU36" s="5">
        <v>1.583E-08</v>
      </c>
      <c r="BV36" s="5">
        <v>4.09702349428</v>
      </c>
      <c r="BW36" s="5">
        <v>11499.6562227928</v>
      </c>
      <c r="BX36">
        <f t="shared" si="10"/>
        <v>1.0734195727250365E-08</v>
      </c>
      <c r="BZ36" s="5">
        <v>1.66E-09</v>
      </c>
      <c r="CA36" s="5">
        <v>1.99984925026</v>
      </c>
      <c r="CB36" s="5">
        <v>8031.0922630584</v>
      </c>
      <c r="CC36">
        <f t="shared" si="11"/>
        <v>-1.423969541759628E-09</v>
      </c>
    </row>
    <row r="37" spans="10:81" ht="12.75">
      <c r="J37" t="s">
        <v>123</v>
      </c>
      <c r="K37" t="s">
        <v>110</v>
      </c>
      <c r="L37" t="b">
        <f>AND(1920&lt;A2,A2&lt;=1941)</f>
        <v>0</v>
      </c>
      <c r="M37" s="5">
        <v>1.01895E-06</v>
      </c>
      <c r="N37" s="5">
        <v>0.97569221824</v>
      </c>
      <c r="O37" s="5">
        <v>15720.8387848784</v>
      </c>
      <c r="P37">
        <f t="shared" si="0"/>
        <v>-7.416056227630042E-07</v>
      </c>
      <c r="R37" s="5">
        <v>6.101E-08</v>
      </c>
      <c r="S37" s="5">
        <v>4.66632584188</v>
      </c>
      <c r="T37" s="5">
        <v>4690.4798363586</v>
      </c>
      <c r="U37">
        <f t="shared" si="1"/>
        <v>-8.67115572175911E-09</v>
      </c>
      <c r="W37" s="5">
        <v>7.06E-09</v>
      </c>
      <c r="X37" s="5">
        <v>6.19393222575</v>
      </c>
      <c r="Y37" s="5">
        <v>4690.4798363586</v>
      </c>
      <c r="Z37">
        <f t="shared" si="2"/>
        <v>6.9384892563047684E-09</v>
      </c>
      <c r="AQ37" s="5">
        <v>2.684E-08</v>
      </c>
      <c r="AR37" s="5">
        <v>1.39470396488</v>
      </c>
      <c r="AS37" s="5">
        <v>22003.9146348698</v>
      </c>
      <c r="AT37">
        <f t="shared" si="5"/>
        <v>2.484488274261289E-08</v>
      </c>
      <c r="AV37" s="5">
        <v>1.5E-09</v>
      </c>
      <c r="AW37" s="5">
        <v>2.00175038718</v>
      </c>
      <c r="AX37" s="5">
        <v>5230.807466803</v>
      </c>
      <c r="AY37">
        <f t="shared" si="6"/>
        <v>-1.4362128168979433E-09</v>
      </c>
      <c r="BA37" s="5">
        <v>1.5E-10</v>
      </c>
      <c r="BB37" s="5">
        <v>6.05682328852</v>
      </c>
      <c r="BC37" s="5">
        <v>398.1490034082</v>
      </c>
      <c r="BD37">
        <f t="shared" si="7"/>
        <v>5.65428501674224E-11</v>
      </c>
      <c r="BP37" s="5">
        <v>3.6957E-07</v>
      </c>
      <c r="BQ37" s="5">
        <v>4.90107591914</v>
      </c>
      <c r="BR37" s="5">
        <v>12139.5535091068</v>
      </c>
      <c r="BS37">
        <f t="shared" si="9"/>
        <v>-2.669714838621238E-07</v>
      </c>
      <c r="BU37" s="5">
        <v>1.575E-08</v>
      </c>
      <c r="BV37" s="5">
        <v>5.53890170575</v>
      </c>
      <c r="BW37" s="5">
        <v>3154.6870848956</v>
      </c>
      <c r="BX37">
        <f t="shared" si="10"/>
        <v>-1.2918067454199081E-08</v>
      </c>
      <c r="BZ37" s="5">
        <v>1.58E-09</v>
      </c>
      <c r="CA37" s="5">
        <v>0.04783713552</v>
      </c>
      <c r="CB37" s="5">
        <v>2544.3144198834</v>
      </c>
      <c r="CC37">
        <f t="shared" si="11"/>
        <v>-1.4018884378623946E-09</v>
      </c>
    </row>
    <row r="38" spans="1:95" s="6" customFormat="1" ht="12.75">
      <c r="A38" s="6" t="s">
        <v>52</v>
      </c>
      <c r="B38" s="6" t="s">
        <v>53</v>
      </c>
      <c r="C38" s="6" t="s">
        <v>54</v>
      </c>
      <c r="D38" s="6" t="s">
        <v>55</v>
      </c>
      <c r="E38" s="6" t="s">
        <v>51</v>
      </c>
      <c r="J38" s="14" t="s">
        <v>104</v>
      </c>
      <c r="K38" s="14">
        <f>K3-1920</f>
        <v>93.375</v>
      </c>
      <c r="M38" s="5">
        <v>8.4711E-07</v>
      </c>
      <c r="N38" s="5">
        <v>3.67080093025</v>
      </c>
      <c r="O38" s="5">
        <v>71430.695618129</v>
      </c>
      <c r="P38">
        <f t="shared" si="0"/>
        <v>-5.444837667512325E-07</v>
      </c>
      <c r="R38" s="5">
        <v>4.33E-08</v>
      </c>
      <c r="S38" s="5">
        <v>0.24102555403</v>
      </c>
      <c r="T38" s="5">
        <v>6812.766815086</v>
      </c>
      <c r="U38">
        <f t="shared" si="1"/>
        <v>-4.189111092269329E-08</v>
      </c>
      <c r="W38" s="5">
        <v>6.43E-09</v>
      </c>
      <c r="X38" s="5">
        <v>1.98042503148</v>
      </c>
      <c r="Y38" s="5">
        <v>801.8209311238</v>
      </c>
      <c r="Z38">
        <f t="shared" si="2"/>
        <v>6.368486974587783E-09</v>
      </c>
      <c r="AB38" s="5"/>
      <c r="AC38" s="5"/>
      <c r="AD38" s="5"/>
      <c r="AG38" s="5"/>
      <c r="AH38" s="5"/>
      <c r="AI38" s="5"/>
      <c r="AL38" s="5"/>
      <c r="AM38" s="5"/>
      <c r="AN38" s="5"/>
      <c r="AQ38" s="5">
        <v>2.428E-08</v>
      </c>
      <c r="AR38" s="5">
        <v>3.24183056052</v>
      </c>
      <c r="AS38" s="5">
        <v>78051.5857313169</v>
      </c>
      <c r="AT38">
        <f t="shared" si="5"/>
        <v>-1.2421777117738942E-08</v>
      </c>
      <c r="AV38" s="5">
        <v>1.49E-09</v>
      </c>
      <c r="AW38" s="5">
        <v>5.06157254516</v>
      </c>
      <c r="AX38" s="5">
        <v>17298.1823273262</v>
      </c>
      <c r="AY38">
        <f t="shared" si="6"/>
        <v>-1.031850705250215E-09</v>
      </c>
      <c r="BA38" s="5">
        <v>1.4E-10</v>
      </c>
      <c r="BB38" s="5">
        <v>4.81029291856</v>
      </c>
      <c r="BC38" s="5">
        <v>4694.0029547076</v>
      </c>
      <c r="BD38">
        <f t="shared" si="7"/>
        <v>6.7844294604456466E-12</v>
      </c>
      <c r="BF38" s="5"/>
      <c r="BG38" s="5"/>
      <c r="BH38" s="5"/>
      <c r="BK38" s="5"/>
      <c r="BL38" s="5"/>
      <c r="BM38" s="5"/>
      <c r="BP38" s="5">
        <v>3.4537E-07</v>
      </c>
      <c r="BQ38" s="5">
        <v>1.84270693282</v>
      </c>
      <c r="BR38" s="5">
        <v>2942.4634232916</v>
      </c>
      <c r="BS38">
        <f t="shared" si="9"/>
        <v>-3.235292768598247E-07</v>
      </c>
      <c r="BU38" s="5">
        <v>1.847E-08</v>
      </c>
      <c r="BV38" s="5">
        <v>1.82040335363</v>
      </c>
      <c r="BW38" s="5">
        <v>7632.9432596502</v>
      </c>
      <c r="BX38">
        <f t="shared" si="10"/>
        <v>-1.794635883470204E-08</v>
      </c>
      <c r="BZ38" s="5">
        <v>1.97E-09</v>
      </c>
      <c r="CA38" s="5">
        <v>2.01083639502</v>
      </c>
      <c r="CB38" s="5">
        <v>1194.4470102246</v>
      </c>
      <c r="CC38">
        <f t="shared" si="11"/>
        <v>1.280883878261199E-09</v>
      </c>
      <c r="CE38" s="5"/>
      <c r="CF38" s="5"/>
      <c r="CG38" s="5"/>
      <c r="CJ38" s="5"/>
      <c r="CK38" s="5"/>
      <c r="CL38" s="5"/>
      <c r="CO38" s="5"/>
      <c r="CP38" s="5"/>
      <c r="CQ38" s="5"/>
    </row>
    <row r="39" spans="1:81" ht="12.75">
      <c r="A39">
        <f>((((F30*E16+E30)*E16+D30)*E16+C30)*E16+B30)*E16+A30</f>
        <v>85.81726919631375</v>
      </c>
      <c r="B39">
        <f>DEGREES(A39)</f>
        <v>4916.967334286824</v>
      </c>
      <c r="C39">
        <f>((((F33*E16+E33)*E16+D33)*E16+C33)*E16+B33)*E16+A33</f>
        <v>2.2347270356691254E-06</v>
      </c>
      <c r="D39">
        <f>DEGREES(C39)</f>
        <v>0.00012804042750762227</v>
      </c>
      <c r="E39">
        <f>((((F36*E16+E36)*E16+D36)*E16+C36)*E16+B36)*E16+A36</f>
        <v>1.0114185647726894</v>
      </c>
      <c r="J39" s="14" t="s">
        <v>98</v>
      </c>
      <c r="K39">
        <f>21.2+K38*(0.84493+K38*(-0.0761+0.0020936*K38))</f>
        <v>1141.0428185796877</v>
      </c>
      <c r="L39">
        <f>K39*L37</f>
        <v>0</v>
      </c>
      <c r="M39" s="5">
        <v>7.3547E-07</v>
      </c>
      <c r="N39" s="5">
        <v>4.67926565481</v>
      </c>
      <c r="O39" s="5">
        <v>801.8209311238</v>
      </c>
      <c r="P39">
        <f t="shared" si="0"/>
        <v>-7.016760704041665E-07</v>
      </c>
      <c r="R39" s="5">
        <v>5.041E-08</v>
      </c>
      <c r="S39" s="5">
        <v>1.42490103709</v>
      </c>
      <c r="T39" s="5">
        <v>6438.4962494256</v>
      </c>
      <c r="U39">
        <f t="shared" si="1"/>
        <v>4.593345044783438E-08</v>
      </c>
      <c r="W39" s="5">
        <v>5.02E-09</v>
      </c>
      <c r="X39" s="5">
        <v>1.44394375363</v>
      </c>
      <c r="Y39" s="5">
        <v>6836.6452528338</v>
      </c>
      <c r="Z39">
        <f t="shared" si="2"/>
        <v>1.0331738100424454E-09</v>
      </c>
      <c r="AQ39" s="5">
        <v>2.12E-08</v>
      </c>
      <c r="AR39" s="5">
        <v>4.30691000285</v>
      </c>
      <c r="AS39" s="5">
        <v>5643.1785636774</v>
      </c>
      <c r="AT39">
        <f t="shared" si="5"/>
        <v>-6.789884803822673E-09</v>
      </c>
      <c r="AV39" s="5">
        <v>1.18E-09</v>
      </c>
      <c r="AW39" s="5">
        <v>5.39979058038</v>
      </c>
      <c r="AX39" s="5">
        <v>3340.6124266998</v>
      </c>
      <c r="AY39">
        <f t="shared" si="6"/>
        <v>1.1598860676624853E-09</v>
      </c>
      <c r="BA39" s="5">
        <v>1.1E-10</v>
      </c>
      <c r="BB39" s="5">
        <v>0.61684523405</v>
      </c>
      <c r="BC39" s="5">
        <v>3128.3887650958</v>
      </c>
      <c r="BD39">
        <f t="shared" si="7"/>
        <v>5.238050692104384E-12</v>
      </c>
      <c r="BP39" s="5">
        <v>2.6275E-07</v>
      </c>
      <c r="BQ39" s="5">
        <v>4.58896850401</v>
      </c>
      <c r="BR39" s="5">
        <v>10447.3878396044</v>
      </c>
      <c r="BS39">
        <f t="shared" si="9"/>
        <v>2.580130612562452E-07</v>
      </c>
      <c r="BU39" s="5">
        <v>1.504E-08</v>
      </c>
      <c r="BV39" s="5">
        <v>3.63293385726</v>
      </c>
      <c r="BW39" s="5">
        <v>11513.8833167944</v>
      </c>
      <c r="BX39">
        <f t="shared" si="10"/>
        <v>1.2807553194312607E-08</v>
      </c>
      <c r="BZ39" s="5">
        <v>1.65E-09</v>
      </c>
      <c r="CA39" s="5">
        <v>5.78372596778</v>
      </c>
      <c r="CB39" s="5">
        <v>83996.8473181118</v>
      </c>
      <c r="CC39">
        <f t="shared" si="11"/>
        <v>-2.6045766102054185E-10</v>
      </c>
    </row>
    <row r="40" spans="1:81" ht="12.75">
      <c r="A40">
        <f>RADIANS(B40)</f>
        <v>4.135860202979122</v>
      </c>
      <c r="B40">
        <f>B39-INT(B39/360)*360</f>
        <v>236.96733428682364</v>
      </c>
      <c r="C40">
        <f>RADIANS(D40)</f>
        <v>2.2347270356691254E-06</v>
      </c>
      <c r="D40">
        <f>D39-INT(D39/360)*360</f>
        <v>0.00012804042750762227</v>
      </c>
      <c r="M40" s="5">
        <v>7.3874E-07</v>
      </c>
      <c r="N40" s="5">
        <v>3.50319443167</v>
      </c>
      <c r="O40" s="5">
        <v>3154.6870848956</v>
      </c>
      <c r="P40">
        <f t="shared" si="0"/>
        <v>-1.0610926689390566E-07</v>
      </c>
      <c r="R40" s="5">
        <v>4.259E-08</v>
      </c>
      <c r="S40" s="5">
        <v>0.77355900599</v>
      </c>
      <c r="T40" s="5">
        <v>10447.3878396044</v>
      </c>
      <c r="U40">
        <f t="shared" si="1"/>
        <v>-2.765833683544758E-08</v>
      </c>
      <c r="W40" s="5">
        <v>4.9E-09</v>
      </c>
      <c r="X40" s="5">
        <v>2.34129524194</v>
      </c>
      <c r="Y40" s="5">
        <v>1592.5960136328</v>
      </c>
      <c r="Z40">
        <f t="shared" si="2"/>
        <v>3.933848720510952E-10</v>
      </c>
      <c r="AQ40" s="5">
        <v>2.257E-08</v>
      </c>
      <c r="AR40" s="5">
        <v>3.15557225618</v>
      </c>
      <c r="AS40" s="5">
        <v>90617.7374312997</v>
      </c>
      <c r="AT40">
        <f t="shared" si="5"/>
        <v>-1.8291984473819283E-08</v>
      </c>
      <c r="AV40" s="5">
        <v>1.61E-09</v>
      </c>
      <c r="AW40" s="5">
        <v>3.32421999691</v>
      </c>
      <c r="AX40" s="5">
        <v>6283.3196674749</v>
      </c>
      <c r="AY40">
        <f t="shared" si="6"/>
        <v>1.3280736321546653E-09</v>
      </c>
      <c r="BA40" s="5">
        <v>1.1E-10</v>
      </c>
      <c r="BB40" s="5">
        <v>5.328765385</v>
      </c>
      <c r="BC40" s="5">
        <v>6040.3472460174</v>
      </c>
      <c r="BD40">
        <f t="shared" si="7"/>
        <v>-2.989234643666383E-11</v>
      </c>
      <c r="BP40" s="5">
        <v>2.4596E-07</v>
      </c>
      <c r="BQ40" s="5">
        <v>3.78660875483</v>
      </c>
      <c r="BR40" s="5">
        <v>8429.2412664666</v>
      </c>
      <c r="BS40">
        <f t="shared" si="9"/>
        <v>-2.357576505923261E-07</v>
      </c>
      <c r="BU40" s="5">
        <v>1.337E-08</v>
      </c>
      <c r="BV40" s="5">
        <v>4.64440864339</v>
      </c>
      <c r="BW40" s="5">
        <v>6836.6452528338</v>
      </c>
      <c r="BX40">
        <f t="shared" si="10"/>
        <v>-3.516758676226064E-09</v>
      </c>
      <c r="BZ40" s="5">
        <v>2.14E-09</v>
      </c>
      <c r="CA40" s="5">
        <v>3.38285934319</v>
      </c>
      <c r="CB40" s="5">
        <v>7632.9432596502</v>
      </c>
      <c r="CC40">
        <f t="shared" si="11"/>
        <v>4.885954565574513E-10</v>
      </c>
    </row>
    <row r="41" spans="10:81" ht="12.75">
      <c r="J41" t="s">
        <v>124</v>
      </c>
      <c r="K41" t="s">
        <v>111</v>
      </c>
      <c r="L41" t="b">
        <f>AND(1941&lt;A2,A2&lt;=1961)</f>
        <v>0</v>
      </c>
      <c r="M41" s="5">
        <v>7.8756E-07</v>
      </c>
      <c r="N41" s="5">
        <v>3.03698313141</v>
      </c>
      <c r="O41" s="5">
        <v>12036.4607348882</v>
      </c>
      <c r="P41">
        <f t="shared" si="0"/>
        <v>6.211105001965306E-07</v>
      </c>
      <c r="R41" s="5">
        <v>5.198E-08</v>
      </c>
      <c r="S41" s="5">
        <v>1.85353197345</v>
      </c>
      <c r="T41" s="5">
        <v>801.8209311238</v>
      </c>
      <c r="U41">
        <f t="shared" si="1"/>
        <v>5.19765388938236E-08</v>
      </c>
      <c r="W41" s="5">
        <v>4.58E-09</v>
      </c>
      <c r="X41" s="5">
        <v>1.30876448575</v>
      </c>
      <c r="Y41" s="5">
        <v>4292.3308329504</v>
      </c>
      <c r="Z41">
        <f t="shared" si="2"/>
        <v>-2.5836133490575337E-09</v>
      </c>
      <c r="AQ41" s="5">
        <v>1.813E-08</v>
      </c>
      <c r="AR41" s="5">
        <v>3.75574218285</v>
      </c>
      <c r="AS41" s="5">
        <v>3340.6124266998</v>
      </c>
      <c r="AT41">
        <f t="shared" si="5"/>
        <v>-4.628518508520867E-09</v>
      </c>
      <c r="AV41" s="5">
        <v>1.21E-09</v>
      </c>
      <c r="AW41" s="5">
        <v>4.36722193162</v>
      </c>
      <c r="AX41" s="5">
        <v>19651.048481098</v>
      </c>
      <c r="AY41">
        <f t="shared" si="6"/>
        <v>-1.1935262506542004E-09</v>
      </c>
      <c r="BA41" s="5">
        <v>1.4E-10</v>
      </c>
      <c r="BB41" s="5">
        <v>5.27227350286</v>
      </c>
      <c r="BC41" s="5">
        <v>4535.0594369244</v>
      </c>
      <c r="BD41">
        <f t="shared" si="7"/>
        <v>-1.3986066861665818E-10</v>
      </c>
      <c r="BP41" s="5">
        <v>2.3587E-07</v>
      </c>
      <c r="BQ41" s="5">
        <v>0.26866117066</v>
      </c>
      <c r="BR41" s="5">
        <v>796.2980068164</v>
      </c>
      <c r="BS41">
        <f t="shared" si="9"/>
        <v>-1.8003818945784067E-08</v>
      </c>
      <c r="BU41" s="5">
        <v>1.275E-08</v>
      </c>
      <c r="BV41" s="5">
        <v>2.69341415363</v>
      </c>
      <c r="BW41" s="5">
        <v>1349.8674096588</v>
      </c>
      <c r="BX41">
        <f t="shared" si="10"/>
        <v>-4.10232742982972E-09</v>
      </c>
      <c r="BZ41" s="5">
        <v>1.4E-09</v>
      </c>
      <c r="CA41" s="5">
        <v>0.36401486094</v>
      </c>
      <c r="CB41" s="5">
        <v>10447.3878396044</v>
      </c>
      <c r="CC41">
        <f t="shared" si="11"/>
        <v>-4.1006619771278056E-10</v>
      </c>
    </row>
    <row r="42" spans="1:81" ht="12.75">
      <c r="A42" s="4" t="s">
        <v>9</v>
      </c>
      <c r="B42" s="9" t="s">
        <v>56</v>
      </c>
      <c r="C42" s="4" t="s">
        <v>9</v>
      </c>
      <c r="D42" s="4" t="s">
        <v>9</v>
      </c>
      <c r="E42" s="4" t="s">
        <v>9</v>
      </c>
      <c r="F42" s="4" t="s">
        <v>9</v>
      </c>
      <c r="J42" t="s">
        <v>104</v>
      </c>
      <c r="K42">
        <f>K3-1950</f>
        <v>63.375</v>
      </c>
      <c r="M42" s="5">
        <v>7.9637E-07</v>
      </c>
      <c r="N42" s="5">
        <v>1.807913307</v>
      </c>
      <c r="O42" s="5">
        <v>17260.1546546904</v>
      </c>
      <c r="P42">
        <f t="shared" si="0"/>
        <v>7.82761031272194E-07</v>
      </c>
      <c r="R42" s="5">
        <v>3.744E-08</v>
      </c>
      <c r="S42" s="5">
        <v>2.00119516488</v>
      </c>
      <c r="T42" s="5">
        <v>8031.0922630584</v>
      </c>
      <c r="U42">
        <f t="shared" si="1"/>
        <v>-3.214238783981904E-08</v>
      </c>
      <c r="W42" s="5">
        <v>4.31E-09</v>
      </c>
      <c r="X42" s="5">
        <v>0.03526421494</v>
      </c>
      <c r="Y42" s="5">
        <v>7234.794256242</v>
      </c>
      <c r="Z42">
        <f t="shared" si="2"/>
        <v>-3.5848971176956546E-09</v>
      </c>
      <c r="AQ42" s="5">
        <v>2.226E-08</v>
      </c>
      <c r="AR42" s="5">
        <v>2.79699346659</v>
      </c>
      <c r="AS42" s="5">
        <v>12036.4607348882</v>
      </c>
      <c r="AT42">
        <f t="shared" si="5"/>
        <v>2.0305398766136252E-08</v>
      </c>
      <c r="AV42" s="5">
        <v>1.16E-09</v>
      </c>
      <c r="AW42" s="5">
        <v>5.83462858507</v>
      </c>
      <c r="AX42" s="5">
        <v>4705.7323075436</v>
      </c>
      <c r="AY42">
        <f t="shared" si="6"/>
        <v>1.0931688245625198E-09</v>
      </c>
      <c r="BA42" s="5">
        <v>1.1E-10</v>
      </c>
      <c r="BB42" s="5">
        <v>2.39292099451</v>
      </c>
      <c r="BC42" s="5">
        <v>5331.3574437408</v>
      </c>
      <c r="BD42">
        <f t="shared" si="7"/>
        <v>-1.3980801266419207E-11</v>
      </c>
      <c r="BP42" s="5">
        <v>2.7793E-07</v>
      </c>
      <c r="BQ42" s="5">
        <v>1.89934330904</v>
      </c>
      <c r="BR42" s="5">
        <v>6279.5527316424</v>
      </c>
      <c r="BS42">
        <f t="shared" si="9"/>
        <v>-1.345256936208643E-07</v>
      </c>
      <c r="BU42" s="5">
        <v>1.352E-08</v>
      </c>
      <c r="BV42" s="5">
        <v>6.15101580257</v>
      </c>
      <c r="BW42" s="5">
        <v>5746.271337896</v>
      </c>
      <c r="BX42">
        <f t="shared" si="10"/>
        <v>3.274645258655271E-09</v>
      </c>
      <c r="BZ42" s="5">
        <v>1.51E-09</v>
      </c>
      <c r="CA42" s="5">
        <v>0.95153163031</v>
      </c>
      <c r="CB42" s="5">
        <v>6127.6554505572</v>
      </c>
      <c r="CC42">
        <f t="shared" si="11"/>
        <v>5.079772974642957E-10</v>
      </c>
    </row>
    <row r="43" spans="10:81" ht="12.75">
      <c r="J43" t="s">
        <v>98</v>
      </c>
      <c r="K43">
        <f>29.07+K42*(0.407+K42*(-1/233+K42/2547))</f>
        <v>137.56258952000144</v>
      </c>
      <c r="L43">
        <f>K43*L41</f>
        <v>0</v>
      </c>
      <c r="M43" s="5">
        <v>8.5803E-07</v>
      </c>
      <c r="N43" s="5">
        <v>5.98322631256</v>
      </c>
      <c r="O43" s="5">
        <v>161000.685737674</v>
      </c>
      <c r="P43">
        <f t="shared" si="0"/>
        <v>-3.907229386521659E-07</v>
      </c>
      <c r="R43" s="5">
        <v>3.558E-08</v>
      </c>
      <c r="S43" s="5">
        <v>2.42901552681</v>
      </c>
      <c r="T43" s="5">
        <v>14143.4952424306</v>
      </c>
      <c r="U43">
        <f t="shared" si="1"/>
        <v>-3.555367616580065E-08</v>
      </c>
      <c r="W43" s="5">
        <v>3.79E-09</v>
      </c>
      <c r="X43" s="5">
        <v>3.17030522615</v>
      </c>
      <c r="Y43" s="5">
        <v>6309.3741697912</v>
      </c>
      <c r="Z43">
        <f t="shared" si="2"/>
        <v>3.481569179957559E-09</v>
      </c>
      <c r="AQ43" s="5">
        <v>1.888E-08</v>
      </c>
      <c r="AR43" s="5">
        <v>0.86991545823</v>
      </c>
      <c r="AS43" s="5">
        <v>8635.9420037632</v>
      </c>
      <c r="AT43">
        <f t="shared" si="5"/>
        <v>-1.8703182772946384E-08</v>
      </c>
      <c r="AV43" s="5">
        <v>1.28E-09</v>
      </c>
      <c r="AW43" s="5">
        <v>4.35489873365</v>
      </c>
      <c r="AX43" s="5">
        <v>25934.1243310894</v>
      </c>
      <c r="AY43">
        <f t="shared" si="6"/>
        <v>1.0314032036425797E-09</v>
      </c>
      <c r="BA43" s="5">
        <v>1E-10</v>
      </c>
      <c r="BB43" s="5">
        <v>4.4529653271</v>
      </c>
      <c r="BC43" s="5">
        <v>6525.8044539654</v>
      </c>
      <c r="BD43">
        <f t="shared" si="7"/>
        <v>-8.082596113573399E-11</v>
      </c>
      <c r="BP43" s="5">
        <v>2.3927E-07</v>
      </c>
      <c r="BQ43" s="5">
        <v>4.99598548138</v>
      </c>
      <c r="BR43" s="5">
        <v>5856.4776591154</v>
      </c>
      <c r="BS43">
        <f t="shared" si="9"/>
        <v>-1.7771439920386283E-08</v>
      </c>
      <c r="BU43" s="5">
        <v>1.125E-08</v>
      </c>
      <c r="BV43" s="5">
        <v>3.35673439497</v>
      </c>
      <c r="BW43" s="5">
        <v>17789.845619785</v>
      </c>
      <c r="BX43">
        <f t="shared" si="10"/>
        <v>-9.245536198653979E-09</v>
      </c>
      <c r="BZ43" s="5">
        <v>1.36E-09</v>
      </c>
      <c r="CA43" s="5">
        <v>1.48426306582</v>
      </c>
      <c r="CB43" s="5">
        <v>2352.8661537718</v>
      </c>
      <c r="CC43">
        <f t="shared" si="11"/>
        <v>4.460735645387885E-11</v>
      </c>
    </row>
    <row r="44" spans="1:81" ht="12.75">
      <c r="A44" t="s">
        <v>57</v>
      </c>
      <c r="B44" t="s">
        <v>58</v>
      </c>
      <c r="C44" t="s">
        <v>75</v>
      </c>
      <c r="M44" s="5">
        <v>5.6963E-07</v>
      </c>
      <c r="N44" s="5">
        <v>2.78430398043</v>
      </c>
      <c r="O44" s="5">
        <v>6286.5989683404</v>
      </c>
      <c r="P44">
        <f t="shared" si="0"/>
        <v>2.5998323980715816E-07</v>
      </c>
      <c r="R44" s="5">
        <v>3.372E-08</v>
      </c>
      <c r="S44" s="5">
        <v>3.86210700128</v>
      </c>
      <c r="T44" s="5">
        <v>1592.5960136328</v>
      </c>
      <c r="U44">
        <f t="shared" si="1"/>
        <v>3.370443569191556E-08</v>
      </c>
      <c r="W44" s="5">
        <v>3.48E-09</v>
      </c>
      <c r="X44" s="5">
        <v>0.99049550009</v>
      </c>
      <c r="Y44" s="5">
        <v>6040.3472460174</v>
      </c>
      <c r="Z44">
        <f t="shared" si="2"/>
        <v>3.46299128128707E-09</v>
      </c>
      <c r="AQ44" s="5">
        <v>1.517E-08</v>
      </c>
      <c r="AR44" s="5">
        <v>1.95852055701</v>
      </c>
      <c r="AS44" s="5">
        <v>398.1490034082</v>
      </c>
      <c r="AT44">
        <f t="shared" si="5"/>
        <v>8.1888538439313E-09</v>
      </c>
      <c r="AV44" s="5">
        <v>1.43E-09</v>
      </c>
      <c r="AW44" s="5">
        <v>0</v>
      </c>
      <c r="AX44" s="5">
        <v>0</v>
      </c>
      <c r="AY44">
        <f t="shared" si="6"/>
        <v>1.43E-09</v>
      </c>
      <c r="BA44" s="5">
        <v>1.4E-10</v>
      </c>
      <c r="BB44" s="5">
        <v>4.66400985037</v>
      </c>
      <c r="BC44" s="5">
        <v>8031.0922630584</v>
      </c>
      <c r="BD44">
        <f t="shared" si="7"/>
        <v>7.360149881187625E-11</v>
      </c>
      <c r="BP44" s="5">
        <v>2.0349E-07</v>
      </c>
      <c r="BQ44" s="5">
        <v>4.65267995431</v>
      </c>
      <c r="BR44" s="5">
        <v>2146.1654164752</v>
      </c>
      <c r="BS44">
        <f t="shared" si="9"/>
        <v>-7.377158346907556E-08</v>
      </c>
      <c r="BU44" s="5">
        <v>1.47E-08</v>
      </c>
      <c r="BV44" s="5">
        <v>3.65282991755</v>
      </c>
      <c r="BW44" s="5">
        <v>1194.4470102246</v>
      </c>
      <c r="BX44">
        <f t="shared" si="10"/>
        <v>1.0460368698488439E-08</v>
      </c>
      <c r="BZ44" s="5">
        <v>1.27E-09</v>
      </c>
      <c r="CA44" s="5">
        <v>5.48475435134</v>
      </c>
      <c r="CB44" s="5">
        <v>951.7184062506</v>
      </c>
      <c r="CC44">
        <f t="shared" si="11"/>
        <v>1.0220342987167585E-09</v>
      </c>
    </row>
    <row r="45" spans="1:81" ht="12.75">
      <c r="A45">
        <f>RADIANS(B45)</f>
        <v>7.277452856568915</v>
      </c>
      <c r="B45">
        <f>B40+180</f>
        <v>416.96733428682364</v>
      </c>
      <c r="C45">
        <f>959.63/E39/60</f>
        <v>15.813268502667691</v>
      </c>
      <c r="J45" t="s">
        <v>125</v>
      </c>
      <c r="K45" t="s">
        <v>112</v>
      </c>
      <c r="L45" t="b">
        <f>AND(1961&lt;A2,A2&lt;=1986)</f>
        <v>0</v>
      </c>
      <c r="M45" s="5">
        <v>6.1148E-07</v>
      </c>
      <c r="N45" s="5">
        <v>1.81839811024</v>
      </c>
      <c r="O45" s="5">
        <v>7084.8967811152</v>
      </c>
      <c r="P45">
        <f t="shared" si="0"/>
        <v>-4.214948238850056E-07</v>
      </c>
      <c r="R45" s="5">
        <v>3.374E-08</v>
      </c>
      <c r="S45" s="5">
        <v>0.88776219727</v>
      </c>
      <c r="T45" s="5">
        <v>12036.4607348882</v>
      </c>
      <c r="U45">
        <f t="shared" si="1"/>
        <v>2.8227191177484687E-09</v>
      </c>
      <c r="W45" s="5">
        <v>3.86E-09</v>
      </c>
      <c r="X45" s="5">
        <v>1.57019797263</v>
      </c>
      <c r="Y45" s="5">
        <v>71430.695618129</v>
      </c>
      <c r="Z45">
        <f t="shared" si="2"/>
        <v>-1.297812351590951E-09</v>
      </c>
      <c r="AQ45" s="5">
        <v>1.581E-08</v>
      </c>
      <c r="AR45" s="5">
        <v>3.19976230948</v>
      </c>
      <c r="AS45" s="5">
        <v>5088.6288397668</v>
      </c>
      <c r="AT45">
        <f t="shared" si="5"/>
        <v>-8.591244740308234E-09</v>
      </c>
      <c r="AV45" s="5">
        <v>1.09E-09</v>
      </c>
      <c r="AW45" s="5">
        <v>2.52157834166</v>
      </c>
      <c r="AX45" s="5">
        <v>6438.4962494256</v>
      </c>
      <c r="AY45">
        <f t="shared" si="6"/>
        <v>8.529682354872245E-10</v>
      </c>
      <c r="BA45" s="5">
        <v>1E-10</v>
      </c>
      <c r="BB45" s="5">
        <v>3.22472385926</v>
      </c>
      <c r="BC45" s="5">
        <v>9437.762934887</v>
      </c>
      <c r="BD45">
        <f t="shared" si="7"/>
        <v>-7.962148560114511E-11</v>
      </c>
      <c r="BP45" s="5">
        <v>2.3287E-07</v>
      </c>
      <c r="BQ45" s="5">
        <v>2.80783650928</v>
      </c>
      <c r="BR45" s="5">
        <v>14143.4952424306</v>
      </c>
      <c r="BS45">
        <f t="shared" si="9"/>
        <v>-2.195119477974938E-07</v>
      </c>
      <c r="BU45" s="5">
        <v>1.177E-08</v>
      </c>
      <c r="BV45" s="5">
        <v>2.57676109092</v>
      </c>
      <c r="BW45" s="5">
        <v>13367.9726311066</v>
      </c>
      <c r="BX45">
        <f t="shared" si="10"/>
        <v>7.868443932615769E-09</v>
      </c>
      <c r="BZ45" s="5">
        <v>1.26E-09</v>
      </c>
      <c r="CA45" s="5">
        <v>5.26866506592</v>
      </c>
      <c r="CB45" s="5">
        <v>6279.5527316424</v>
      </c>
      <c r="CC45">
        <f t="shared" si="11"/>
        <v>3.4520645818585316E-10</v>
      </c>
    </row>
    <row r="46" spans="10:81" ht="12.75">
      <c r="J46" t="s">
        <v>104</v>
      </c>
      <c r="K46">
        <f>K3-1975</f>
        <v>38.375</v>
      </c>
      <c r="M46" s="5">
        <v>6.9627E-07</v>
      </c>
      <c r="N46" s="5">
        <v>0.83297596966</v>
      </c>
      <c r="O46" s="5">
        <v>9437.762934887</v>
      </c>
      <c r="P46">
        <f t="shared" si="0"/>
        <v>1.1859813741168669E-07</v>
      </c>
      <c r="R46" s="5">
        <v>3.175E-08</v>
      </c>
      <c r="S46" s="5">
        <v>3.18785710594</v>
      </c>
      <c r="T46" s="5">
        <v>4705.7323075436</v>
      </c>
      <c r="U46">
        <f t="shared" si="1"/>
        <v>-3.1375613666098036E-08</v>
      </c>
      <c r="W46" s="5">
        <v>3.47E-09</v>
      </c>
      <c r="X46" s="5">
        <v>0.67013291338</v>
      </c>
      <c r="Y46" s="5">
        <v>1059.3819301892</v>
      </c>
      <c r="Z46">
        <f t="shared" si="2"/>
        <v>-2.241349870754876E-09</v>
      </c>
      <c r="AQ46" s="5">
        <v>1.421E-08</v>
      </c>
      <c r="AR46" s="5">
        <v>6.25530883827</v>
      </c>
      <c r="AS46" s="5">
        <v>2544.3144198834</v>
      </c>
      <c r="AT46">
        <f t="shared" si="5"/>
        <v>-1.2076223687143332E-08</v>
      </c>
      <c r="AV46" s="5">
        <v>9.9E-10</v>
      </c>
      <c r="AW46" s="5">
        <v>2.70727488041</v>
      </c>
      <c r="AX46" s="5">
        <v>5216.5803728014</v>
      </c>
      <c r="AY46">
        <f t="shared" si="6"/>
        <v>-9.655820973275001E-10</v>
      </c>
      <c r="BA46" s="5">
        <v>1.1E-10</v>
      </c>
      <c r="BB46" s="5">
        <v>3.80913404437</v>
      </c>
      <c r="BC46" s="5">
        <v>801.8209311238</v>
      </c>
      <c r="BD46">
        <f t="shared" si="7"/>
        <v>-4.246549777790572E-11</v>
      </c>
      <c r="BP46" s="5">
        <v>2.2103E-07</v>
      </c>
      <c r="BQ46" s="5">
        <v>1.95004702988</v>
      </c>
      <c r="BR46" s="5">
        <v>3154.6870848956</v>
      </c>
      <c r="BS46">
        <f t="shared" si="9"/>
        <v>2.1814371532977144E-07</v>
      </c>
      <c r="BU46" s="5">
        <v>1.101E-08</v>
      </c>
      <c r="BV46" s="5">
        <v>4.49748696552</v>
      </c>
      <c r="BW46" s="5">
        <v>4292.3308329504</v>
      </c>
      <c r="BX46">
        <f t="shared" si="10"/>
        <v>6.63222669737123E-09</v>
      </c>
      <c r="BZ46" s="5">
        <v>1.25E-09</v>
      </c>
      <c r="CA46" s="5">
        <v>3.75754889288</v>
      </c>
      <c r="CB46" s="5">
        <v>6812.766815086</v>
      </c>
      <c r="CC46">
        <f t="shared" si="11"/>
        <v>1.0094988027204342E-09</v>
      </c>
    </row>
    <row r="47" spans="1:81" ht="12.75">
      <c r="A47" s="4" t="s">
        <v>9</v>
      </c>
      <c r="B47" s="9" t="s">
        <v>59</v>
      </c>
      <c r="C47" s="4" t="s">
        <v>9</v>
      </c>
      <c r="D47" s="4" t="s">
        <v>9</v>
      </c>
      <c r="E47" s="4" t="s">
        <v>9</v>
      </c>
      <c r="F47" s="4" t="s">
        <v>9</v>
      </c>
      <c r="J47" t="s">
        <v>98</v>
      </c>
      <c r="K47">
        <f>45.45+K46*(1.067+K46*(-1/260-K46/718))</f>
        <v>2.0237883560772403</v>
      </c>
      <c r="L47">
        <f>K47*L45</f>
        <v>0</v>
      </c>
      <c r="M47" s="5">
        <v>5.6116E-07</v>
      </c>
      <c r="N47" s="5">
        <v>4.38694880779</v>
      </c>
      <c r="O47" s="5">
        <v>14143.4952424306</v>
      </c>
      <c r="P47">
        <f t="shared" si="0"/>
        <v>1.9171807469204323E-07</v>
      </c>
      <c r="R47" s="5">
        <v>3.221E-08</v>
      </c>
      <c r="S47" s="5">
        <v>0.61599835472</v>
      </c>
      <c r="T47" s="5">
        <v>8429.2412664666</v>
      </c>
      <c r="U47">
        <f t="shared" si="1"/>
        <v>3.1127304966589863E-08</v>
      </c>
      <c r="W47" s="5">
        <v>4.58E-09</v>
      </c>
      <c r="X47" s="5">
        <v>3.81499443681</v>
      </c>
      <c r="Y47" s="5">
        <v>149854.400134807</v>
      </c>
      <c r="Z47">
        <f t="shared" si="2"/>
        <v>-3.661742610220484E-09</v>
      </c>
      <c r="AQ47" s="5">
        <v>1.595E-08</v>
      </c>
      <c r="AR47" s="5">
        <v>0.25619915135</v>
      </c>
      <c r="AS47" s="5">
        <v>17298.1823273262</v>
      </c>
      <c r="AT47">
        <f t="shared" si="5"/>
        <v>1.0431050339999985E-08</v>
      </c>
      <c r="AV47" s="5">
        <v>1.03E-09</v>
      </c>
      <c r="AW47" s="5">
        <v>0.93782340879</v>
      </c>
      <c r="AX47" s="5">
        <v>8827.3902698748</v>
      </c>
      <c r="AY47">
        <f t="shared" si="6"/>
        <v>9.58010491213322E-10</v>
      </c>
      <c r="BA47" s="5">
        <v>1E-10</v>
      </c>
      <c r="BB47" s="5">
        <v>5.15032130575</v>
      </c>
      <c r="BC47" s="5">
        <v>11371.7046897582</v>
      </c>
      <c r="BD47">
        <f t="shared" si="7"/>
        <v>9.859921126720201E-11</v>
      </c>
      <c r="BP47" s="5">
        <v>1.9506E-07</v>
      </c>
      <c r="BQ47" s="5">
        <v>5.38227371393</v>
      </c>
      <c r="BR47" s="5">
        <v>2352.8661537718</v>
      </c>
      <c r="BS47">
        <f t="shared" si="9"/>
        <v>1.2914850907207314E-07</v>
      </c>
      <c r="BU47" s="5">
        <v>1.234E-08</v>
      </c>
      <c r="BV47" s="5">
        <v>5.65036509521</v>
      </c>
      <c r="BW47" s="5">
        <v>5760.4984318976</v>
      </c>
      <c r="BX47">
        <f t="shared" si="10"/>
        <v>6.502515431857562E-09</v>
      </c>
      <c r="BZ47" s="5">
        <v>1.01E-09</v>
      </c>
      <c r="CA47" s="5">
        <v>4.95015746147</v>
      </c>
      <c r="CB47" s="5">
        <v>398.1490034082</v>
      </c>
      <c r="CC47">
        <f t="shared" si="11"/>
        <v>-6.661016201300209E-10</v>
      </c>
    </row>
    <row r="48" spans="13:81" ht="12.75">
      <c r="M48" s="5">
        <v>6.2449E-07</v>
      </c>
      <c r="N48" s="5">
        <v>3.97763880587</v>
      </c>
      <c r="O48" s="5">
        <v>8827.3902698748</v>
      </c>
      <c r="P48">
        <f t="shared" si="0"/>
        <v>-5.54532794923396E-07</v>
      </c>
      <c r="R48" s="5">
        <v>4.132E-08</v>
      </c>
      <c r="S48" s="5">
        <v>5.23992859705</v>
      </c>
      <c r="T48" s="5">
        <v>7084.8967811152</v>
      </c>
      <c r="U48">
        <f t="shared" si="1"/>
        <v>3.5644243759288625E-08</v>
      </c>
      <c r="W48" s="5">
        <v>3.02E-09</v>
      </c>
      <c r="X48" s="5">
        <v>1.91760044838</v>
      </c>
      <c r="Y48" s="5">
        <v>10447.3878396044</v>
      </c>
      <c r="Z48">
        <f t="shared" si="2"/>
        <v>-2.9023437335750717E-09</v>
      </c>
      <c r="AQ48" s="5">
        <v>1.391E-08</v>
      </c>
      <c r="AR48" s="5">
        <v>4.69964175561</v>
      </c>
      <c r="AS48" s="5">
        <v>7058.5984613154</v>
      </c>
      <c r="AT48">
        <f t="shared" si="5"/>
        <v>2.0571754242844473E-09</v>
      </c>
      <c r="AV48" s="5">
        <v>8.2E-10</v>
      </c>
      <c r="AW48" s="5">
        <v>4.2921468039</v>
      </c>
      <c r="AX48" s="5">
        <v>8635.9420037632</v>
      </c>
      <c r="AY48">
        <f t="shared" si="6"/>
        <v>7.495313668504255E-10</v>
      </c>
      <c r="BA48" s="5">
        <v>1.3E-10</v>
      </c>
      <c r="BB48" s="5">
        <v>0.98720797401</v>
      </c>
      <c r="BC48" s="5">
        <v>5729.506447149</v>
      </c>
      <c r="BD48">
        <f t="shared" si="7"/>
        <v>-7.872660209942253E-11</v>
      </c>
      <c r="BP48" s="5">
        <v>1.7958E-07</v>
      </c>
      <c r="BQ48" s="5">
        <v>0.19871379385</v>
      </c>
      <c r="BR48" s="5">
        <v>6812.766815086</v>
      </c>
      <c r="BS48">
        <f t="shared" si="9"/>
        <v>-1.755032841315352E-07</v>
      </c>
      <c r="BU48" s="5">
        <v>9.84E-09</v>
      </c>
      <c r="BV48" s="5">
        <v>0.65517395136</v>
      </c>
      <c r="BW48" s="5">
        <v>5856.4776591154</v>
      </c>
      <c r="BX48">
        <f t="shared" si="10"/>
        <v>-8.87779049850669E-09</v>
      </c>
      <c r="BZ48" s="5">
        <v>1.02E-09</v>
      </c>
      <c r="CA48" s="5">
        <v>0.68468295277</v>
      </c>
      <c r="CB48" s="5">
        <v>1592.5960136328</v>
      </c>
      <c r="CC48">
        <f t="shared" si="11"/>
        <v>-1.0199848693049123E-09</v>
      </c>
    </row>
    <row r="49" spans="1:81" ht="12.75">
      <c r="A49" t="s">
        <v>60</v>
      </c>
      <c r="B49" t="s">
        <v>61</v>
      </c>
      <c r="C49" t="s">
        <v>62</v>
      </c>
      <c r="D49" t="s">
        <v>63</v>
      </c>
      <c r="E49" t="s">
        <v>64</v>
      </c>
      <c r="F49" t="s">
        <v>65</v>
      </c>
      <c r="J49" t="s">
        <v>126</v>
      </c>
      <c r="K49" t="s">
        <v>113</v>
      </c>
      <c r="L49" t="b">
        <f>AND(1986&lt;A2,A2&lt;=2005)</f>
        <v>0</v>
      </c>
      <c r="M49" s="5">
        <v>5.1145E-07</v>
      </c>
      <c r="N49" s="5">
        <v>0.28306864501</v>
      </c>
      <c r="O49" s="5">
        <v>5856.4776591154</v>
      </c>
      <c r="P49">
        <f t="shared" si="0"/>
        <v>-5.100573061806617E-07</v>
      </c>
      <c r="R49" s="5">
        <v>2.97E-08</v>
      </c>
      <c r="S49" s="5">
        <v>6.07026318493</v>
      </c>
      <c r="T49" s="5">
        <v>4292.3308329504</v>
      </c>
      <c r="U49">
        <f t="shared" si="1"/>
        <v>2.3671306027833124E-08</v>
      </c>
      <c r="W49" s="5">
        <v>3.07E-09</v>
      </c>
      <c r="X49" s="5">
        <v>3.55343347416</v>
      </c>
      <c r="Y49" s="5">
        <v>8031.0922630584</v>
      </c>
      <c r="Z49">
        <f t="shared" si="2"/>
        <v>-1.6229550886986892E-09</v>
      </c>
      <c r="AQ49" s="5">
        <v>1.478E-08</v>
      </c>
      <c r="AR49" s="5">
        <v>2.81808207569</v>
      </c>
      <c r="AS49" s="5">
        <v>25934.1243310894</v>
      </c>
      <c r="AT49">
        <f t="shared" si="5"/>
        <v>-8.343206980872352E-09</v>
      </c>
      <c r="AV49" s="5">
        <v>7.9E-10</v>
      </c>
      <c r="AW49" s="5">
        <v>2.24085737326</v>
      </c>
      <c r="AX49" s="5">
        <v>1059.3819301892</v>
      </c>
      <c r="AY49">
        <f t="shared" si="6"/>
        <v>-6.031252640643148E-10</v>
      </c>
      <c r="BA49" s="5">
        <v>9E-11</v>
      </c>
      <c r="BB49" s="5">
        <v>5.94191743597</v>
      </c>
      <c r="BC49" s="5">
        <v>7632.9432596502</v>
      </c>
      <c r="BD49">
        <f t="shared" si="7"/>
        <v>3.104565010520539E-11</v>
      </c>
      <c r="BP49" s="5">
        <v>1.7174E-07</v>
      </c>
      <c r="BQ49" s="5">
        <v>4.43315560735</v>
      </c>
      <c r="BR49" s="5">
        <v>10213.285546211</v>
      </c>
      <c r="BS49">
        <f t="shared" si="9"/>
        <v>-1.6216378004131466E-07</v>
      </c>
      <c r="BU49" s="5">
        <v>9.28E-09</v>
      </c>
      <c r="BV49" s="5">
        <v>2.32420318751</v>
      </c>
      <c r="BW49" s="5">
        <v>10213.285546211</v>
      </c>
      <c r="BX49">
        <f t="shared" si="10"/>
        <v>7.11490793022076E-09</v>
      </c>
      <c r="BZ49" s="5">
        <v>1E-09</v>
      </c>
      <c r="CA49" s="5">
        <v>1.14568935785</v>
      </c>
      <c r="CB49" s="5">
        <v>3894.1818295422</v>
      </c>
      <c r="CC49">
        <f t="shared" si="11"/>
        <v>-9.844487041747275E-10</v>
      </c>
    </row>
    <row r="50" spans="1:81" ht="12.75">
      <c r="A50">
        <f>0.016708634-F16*(0.000042037+0.0000001267*F16)</f>
        <v>0.016703009272264476</v>
      </c>
      <c r="B50">
        <f>102.93735+F16*(1.71946+0.00046*F16)</f>
        <v>103.16733651248794</v>
      </c>
      <c r="C50">
        <f>B50-INT(B50/360)*360</f>
        <v>103.16733651248794</v>
      </c>
      <c r="D50">
        <f>RADIANS(C50)</f>
        <v>1.8006097026558785</v>
      </c>
      <c r="E50">
        <f>0.0000993650849745*(A50*COS(D50-A45)-1)</f>
        <v>-9.821633780845938E-05</v>
      </c>
      <c r="F50">
        <v>0</v>
      </c>
      <c r="J50" t="s">
        <v>104</v>
      </c>
      <c r="K50">
        <f>K3-2000</f>
        <v>13.375</v>
      </c>
      <c r="M50" s="5">
        <v>5.5577E-07</v>
      </c>
      <c r="N50" s="5">
        <v>3.47006009062</v>
      </c>
      <c r="O50" s="5">
        <v>6279.5527316424</v>
      </c>
      <c r="P50">
        <f t="shared" si="0"/>
        <v>4.863067641788152E-07</v>
      </c>
      <c r="R50" s="5">
        <v>2.9E-08</v>
      </c>
      <c r="S50" s="5">
        <v>2.32464208411</v>
      </c>
      <c r="T50" s="5">
        <v>20.3553193988</v>
      </c>
      <c r="U50">
        <f t="shared" si="1"/>
        <v>-2.4803237060241182E-08</v>
      </c>
      <c r="W50" s="5">
        <v>3.95E-09</v>
      </c>
      <c r="X50" s="5">
        <v>4.93701776616</v>
      </c>
      <c r="Y50" s="5">
        <v>7632.9432596502</v>
      </c>
      <c r="Z50">
        <f t="shared" si="2"/>
        <v>3.860141189555777E-09</v>
      </c>
      <c r="AQ50" s="5">
        <v>1.481E-08</v>
      </c>
      <c r="AR50" s="5">
        <v>3.65823554806</v>
      </c>
      <c r="AS50" s="5">
        <v>11506.7697697936</v>
      </c>
      <c r="AT50">
        <f t="shared" si="5"/>
        <v>1.3122767392348857E-08</v>
      </c>
      <c r="AV50" s="5">
        <v>9.7E-10</v>
      </c>
      <c r="AW50" s="5">
        <v>5.50959692365</v>
      </c>
      <c r="AX50" s="5">
        <v>29864.334027309</v>
      </c>
      <c r="AY50">
        <f t="shared" si="6"/>
        <v>-9.209093979487437E-10</v>
      </c>
      <c r="BP50" s="5">
        <v>1.619E-07</v>
      </c>
      <c r="BQ50" s="5">
        <v>5.23160507859</v>
      </c>
      <c r="BR50" s="5">
        <v>17789.845619785</v>
      </c>
      <c r="BS50">
        <f t="shared" si="9"/>
        <v>-4.817163467372323E-08</v>
      </c>
      <c r="BU50" s="5">
        <v>1.077E-08</v>
      </c>
      <c r="BV50" s="5">
        <v>5.82812169132</v>
      </c>
      <c r="BW50" s="5">
        <v>12036.4607348882</v>
      </c>
      <c r="BX50">
        <f t="shared" si="10"/>
        <v>-1.025093554772665E-08</v>
      </c>
      <c r="BZ50" s="5">
        <v>1.29E-09</v>
      </c>
      <c r="CA50" s="5">
        <v>0.76540016965</v>
      </c>
      <c r="CB50" s="5">
        <v>553.5694028424</v>
      </c>
      <c r="CC50">
        <f t="shared" si="11"/>
        <v>-4.001853062949243E-10</v>
      </c>
    </row>
    <row r="51" spans="10:81" ht="12.75">
      <c r="J51" t="s">
        <v>98</v>
      </c>
      <c r="K51">
        <f>63.86+K50*(0.3345+K50*(-0.060374+K50*(0.0017275+K50*(0.000651814+0.00002373599*K50))))</f>
        <v>92.68576913090487</v>
      </c>
      <c r="L51">
        <f>K51*L49</f>
        <v>0</v>
      </c>
      <c r="M51" s="5">
        <v>4.1036E-07</v>
      </c>
      <c r="N51" s="5">
        <v>5.36817351402</v>
      </c>
      <c r="O51" s="5">
        <v>8429.2412664666</v>
      </c>
      <c r="P51">
        <f t="shared" si="0"/>
        <v>1.2119134746567296E-07</v>
      </c>
      <c r="R51" s="5">
        <v>3.504E-08</v>
      </c>
      <c r="S51" s="5">
        <v>4.79975694359</v>
      </c>
      <c r="T51" s="5">
        <v>6279.5527316424</v>
      </c>
      <c r="U51">
        <f t="shared" si="1"/>
        <v>2.3792946215212824E-08</v>
      </c>
      <c r="W51" s="5">
        <v>3.14E-09</v>
      </c>
      <c r="X51" s="5">
        <v>3.18093696547</v>
      </c>
      <c r="Y51" s="5">
        <v>2352.8661537718</v>
      </c>
      <c r="Z51">
        <f t="shared" si="2"/>
        <v>-3.1264098036107216E-09</v>
      </c>
      <c r="AQ51" s="5">
        <v>1.693E-08</v>
      </c>
      <c r="AR51" s="5">
        <v>4.95689385293</v>
      </c>
      <c r="AS51" s="5">
        <v>156475.290247995</v>
      </c>
      <c r="AT51">
        <f t="shared" si="5"/>
        <v>1.2208730581783865E-08</v>
      </c>
      <c r="AV51" s="5">
        <v>7.2E-10</v>
      </c>
      <c r="AW51" s="5">
        <v>0.21891639822</v>
      </c>
      <c r="AX51" s="5">
        <v>21228.3920235458</v>
      </c>
      <c r="AY51">
        <f t="shared" si="6"/>
        <v>1.1815348586972757E-10</v>
      </c>
      <c r="BP51" s="5">
        <v>1.7314E-07</v>
      </c>
      <c r="BQ51" s="5">
        <v>6.15200787916</v>
      </c>
      <c r="BR51" s="5">
        <v>16730.4636895958</v>
      </c>
      <c r="BS51">
        <f t="shared" si="9"/>
        <v>-1.442349610788411E-07</v>
      </c>
      <c r="BU51" s="5">
        <v>9.16E-09</v>
      </c>
      <c r="BV51" s="5">
        <v>0.76613009583</v>
      </c>
      <c r="BW51" s="5">
        <v>16730.4636895958</v>
      </c>
      <c r="BX51">
        <f t="shared" si="10"/>
        <v>-7.986346624522066E-10</v>
      </c>
      <c r="BZ51" s="5">
        <v>1.09E-09</v>
      </c>
      <c r="CA51" s="5">
        <v>5.41063597567</v>
      </c>
      <c r="CB51" s="5">
        <v>6256.7775301916</v>
      </c>
      <c r="CC51">
        <f t="shared" si="11"/>
        <v>4.644418169065028E-10</v>
      </c>
    </row>
    <row r="52" spans="1:95" s="10" customFormat="1" ht="12.75">
      <c r="A52" s="9" t="s">
        <v>67</v>
      </c>
      <c r="B52" s="9" t="s">
        <v>68</v>
      </c>
      <c r="C52" s="9" t="s">
        <v>9</v>
      </c>
      <c r="D52" s="9" t="s">
        <v>9</v>
      </c>
      <c r="E52" s="9" t="s">
        <v>9</v>
      </c>
      <c r="F52" s="9" t="s">
        <v>9</v>
      </c>
      <c r="M52" s="5">
        <v>5.1605E-07</v>
      </c>
      <c r="N52" s="5">
        <v>1.33282746983</v>
      </c>
      <c r="O52" s="5">
        <v>1748.016413067</v>
      </c>
      <c r="P52">
        <f t="shared" si="0"/>
        <v>4.711695486267683E-07</v>
      </c>
      <c r="R52" s="5">
        <v>2.95E-08</v>
      </c>
      <c r="S52" s="5">
        <v>1.43108874817</v>
      </c>
      <c r="T52" s="5">
        <v>5746.271337896</v>
      </c>
      <c r="U52">
        <f t="shared" si="1"/>
        <v>-2.8566948900819043E-08</v>
      </c>
      <c r="W52" s="5">
        <v>2.82E-09</v>
      </c>
      <c r="X52" s="5">
        <v>4.41936437052</v>
      </c>
      <c r="Y52" s="5">
        <v>9437.762934887</v>
      </c>
      <c r="Z52">
        <f t="shared" si="2"/>
        <v>7.62036885335236E-10</v>
      </c>
      <c r="AB52" s="5"/>
      <c r="AC52" s="5"/>
      <c r="AD52" s="5"/>
      <c r="AG52" s="5"/>
      <c r="AH52" s="5"/>
      <c r="AI52" s="5"/>
      <c r="AL52" s="5"/>
      <c r="AM52" s="5"/>
      <c r="AN52" s="5"/>
      <c r="AQ52" s="5">
        <v>1.183E-08</v>
      </c>
      <c r="AR52" s="5">
        <v>1.29343061246</v>
      </c>
      <c r="AS52" s="5">
        <v>775.522611324</v>
      </c>
      <c r="AT52">
        <f t="shared" si="5"/>
        <v>7.3508457170521625E-09</v>
      </c>
      <c r="AV52" s="5">
        <v>7.1E-10</v>
      </c>
      <c r="AW52" s="5">
        <v>2.86755026812</v>
      </c>
      <c r="AX52" s="5">
        <v>6681.2248533996</v>
      </c>
      <c r="AY52">
        <f t="shared" si="6"/>
        <v>-3.0745221660606215E-10</v>
      </c>
      <c r="BA52" s="5"/>
      <c r="BB52" s="5"/>
      <c r="BC52" s="5"/>
      <c r="BF52" s="5"/>
      <c r="BG52" s="5"/>
      <c r="BH52" s="5"/>
      <c r="BK52" s="5"/>
      <c r="BL52" s="5"/>
      <c r="BM52" s="5"/>
      <c r="BP52" s="5">
        <v>1.3814E-07</v>
      </c>
      <c r="BQ52" s="5">
        <v>5.18962074032</v>
      </c>
      <c r="BR52" s="5">
        <v>8031.0922630584</v>
      </c>
      <c r="BS52">
        <f t="shared" si="9"/>
        <v>1.2178009394290756E-07</v>
      </c>
      <c r="BU52" s="5">
        <v>8.77E-09</v>
      </c>
      <c r="BV52" s="5">
        <v>1.50137505051</v>
      </c>
      <c r="BW52" s="5">
        <v>11926.2544136688</v>
      </c>
      <c r="BX52">
        <f t="shared" si="10"/>
        <v>-6.146784233006231E-09</v>
      </c>
      <c r="BZ52" s="5">
        <v>7.5E-10</v>
      </c>
      <c r="CA52" s="5">
        <v>5.84804322893</v>
      </c>
      <c r="CB52" s="5">
        <v>242.728603974</v>
      </c>
      <c r="CC52">
        <f t="shared" si="11"/>
        <v>-7.094752393860473E-10</v>
      </c>
      <c r="CE52" s="5"/>
      <c r="CF52" s="5"/>
      <c r="CG52" s="5"/>
      <c r="CJ52" s="5"/>
      <c r="CK52" s="5"/>
      <c r="CL52" s="5"/>
      <c r="CO52" s="5"/>
      <c r="CP52" s="5"/>
      <c r="CQ52" s="5"/>
    </row>
    <row r="53" spans="10:81" ht="12.75">
      <c r="J53" t="s">
        <v>127</v>
      </c>
      <c r="K53" t="s">
        <v>114</v>
      </c>
      <c r="L53" t="b">
        <f>AND(2005&lt;A2,A2&lt;=2050)</f>
        <v>1</v>
      </c>
      <c r="M53" s="5">
        <v>5.1992E-07</v>
      </c>
      <c r="N53" s="5">
        <v>0.18914945834</v>
      </c>
      <c r="O53" s="5">
        <v>12139.5535091068</v>
      </c>
      <c r="P53">
        <f t="shared" si="0"/>
        <v>3.5969421767313556E-07</v>
      </c>
      <c r="R53" s="5">
        <v>2.697E-08</v>
      </c>
      <c r="S53" s="5">
        <v>4.80368225199</v>
      </c>
      <c r="T53" s="5">
        <v>7234.794256242</v>
      </c>
      <c r="U53">
        <f t="shared" si="1"/>
        <v>1.3692177250664107E-08</v>
      </c>
      <c r="W53" s="5">
        <v>2.76E-09</v>
      </c>
      <c r="X53" s="5">
        <v>2.71314254553</v>
      </c>
      <c r="Y53" s="5">
        <v>3894.1818295422</v>
      </c>
      <c r="Z53">
        <f t="shared" si="2"/>
        <v>-4.939363287920946E-10</v>
      </c>
      <c r="AQ53" s="5">
        <v>1.114E-08</v>
      </c>
      <c r="AR53" s="5">
        <v>2.37889311846</v>
      </c>
      <c r="AS53" s="5">
        <v>3738.761430108</v>
      </c>
      <c r="AT53">
        <f t="shared" si="5"/>
        <v>-5.809995098515686E-09</v>
      </c>
      <c r="AV53" s="5">
        <v>7.4E-10</v>
      </c>
      <c r="AW53" s="5">
        <v>2.20184828895</v>
      </c>
      <c r="AX53" s="5">
        <v>37724.7534197482</v>
      </c>
      <c r="AY53">
        <f t="shared" si="6"/>
        <v>-4.1518861752748306E-10</v>
      </c>
      <c r="BP53" s="5">
        <v>1.8833E-07</v>
      </c>
      <c r="BQ53" s="5">
        <v>0.67306674027</v>
      </c>
      <c r="BR53" s="5">
        <v>149854.400134807</v>
      </c>
      <c r="BS53">
        <f t="shared" si="9"/>
        <v>1.5060906809786852E-07</v>
      </c>
      <c r="BU53" s="5">
        <v>1.023E-08</v>
      </c>
      <c r="BV53" s="5">
        <v>5.62076589825</v>
      </c>
      <c r="BW53" s="5">
        <v>6256.7775301916</v>
      </c>
      <c r="BX53">
        <f t="shared" si="10"/>
        <v>2.3326108372040202E-09</v>
      </c>
      <c r="BZ53" s="5">
        <v>9.5E-10</v>
      </c>
      <c r="CA53" s="5">
        <v>1.94452244083</v>
      </c>
      <c r="CB53" s="5">
        <v>11856.2186514245</v>
      </c>
      <c r="CC53">
        <f t="shared" si="11"/>
        <v>-9.074088783602164E-10</v>
      </c>
    </row>
    <row r="54" spans="1:81" ht="12.75">
      <c r="A54" t="s">
        <v>71</v>
      </c>
      <c r="B54" t="s">
        <v>72</v>
      </c>
      <c r="J54" t="s">
        <v>104</v>
      </c>
      <c r="K54">
        <f>K3-2000</f>
        <v>13.375</v>
      </c>
      <c r="M54" s="5">
        <v>4.9E-07</v>
      </c>
      <c r="N54" s="5">
        <v>0.48735065033</v>
      </c>
      <c r="O54" s="5">
        <v>1194.4470102246</v>
      </c>
      <c r="P54">
        <f t="shared" si="0"/>
        <v>-3.568021908752585E-07</v>
      </c>
      <c r="R54" s="5">
        <v>2.531E-08</v>
      </c>
      <c r="S54" s="5">
        <v>6.22290682655</v>
      </c>
      <c r="T54" s="5">
        <v>6836.6452528338</v>
      </c>
      <c r="U54">
        <f t="shared" si="1"/>
        <v>-2.4366753079826962E-08</v>
      </c>
      <c r="W54" s="5">
        <v>2.98E-09</v>
      </c>
      <c r="X54" s="5">
        <v>2.5203747421</v>
      </c>
      <c r="Y54" s="5">
        <v>6127.6554505572</v>
      </c>
      <c r="Z54">
        <f t="shared" si="2"/>
        <v>-2.8043503765721422E-09</v>
      </c>
      <c r="AQ54" s="5">
        <v>9.94E-09</v>
      </c>
      <c r="AR54" s="5">
        <v>4.30088900425</v>
      </c>
      <c r="AS54" s="5">
        <v>9225.539273283</v>
      </c>
      <c r="AT54">
        <f t="shared" si="5"/>
        <v>-4.397225050744227E-09</v>
      </c>
      <c r="AV54" s="5">
        <v>6.3E-10</v>
      </c>
      <c r="AW54" s="5">
        <v>4.45586625948</v>
      </c>
      <c r="AX54" s="5">
        <v>7079.3738568078</v>
      </c>
      <c r="AY54">
        <f t="shared" si="6"/>
        <v>1.1435787863677808E-10</v>
      </c>
      <c r="BP54" s="5">
        <v>1.8331E-07</v>
      </c>
      <c r="BQ54" s="5">
        <v>2.25348733734</v>
      </c>
      <c r="BR54" s="5">
        <v>23581.2581773176</v>
      </c>
      <c r="BS54">
        <f t="shared" si="9"/>
        <v>-1.7202893386931384E-07</v>
      </c>
      <c r="BU54" s="5">
        <v>8.51E-09</v>
      </c>
      <c r="BV54" s="5">
        <v>0.65709335533</v>
      </c>
      <c r="BW54" s="5">
        <v>155.4203994342</v>
      </c>
      <c r="BX54">
        <f t="shared" si="10"/>
        <v>-7.819054923688825E-09</v>
      </c>
      <c r="BZ54" s="5">
        <v>7.7E-10</v>
      </c>
      <c r="CA54" s="5">
        <v>0.69373708195</v>
      </c>
      <c r="CB54" s="5">
        <v>8429.2412664666</v>
      </c>
      <c r="CC54">
        <f t="shared" si="11"/>
        <v>7.264963158239517E-10</v>
      </c>
    </row>
    <row r="55" spans="1:81" ht="12.75">
      <c r="A55">
        <f>A45+E50+A19</f>
        <v>7.27741103096656</v>
      </c>
      <c r="B55" s="12">
        <v>0</v>
      </c>
      <c r="J55" t="s">
        <v>98</v>
      </c>
      <c r="K55">
        <f>62.92+K54*(0.32217+0.005589*K54)</f>
        <v>68.228843453125</v>
      </c>
      <c r="L55">
        <f>K55*L53</f>
        <v>68.228843453125</v>
      </c>
      <c r="M55" s="5">
        <v>3.92E-07</v>
      </c>
      <c r="N55" s="5">
        <v>6.16832995016</v>
      </c>
      <c r="O55" s="5">
        <v>10447.3878396044</v>
      </c>
      <c r="P55">
        <f t="shared" si="0"/>
        <v>7.079932015506072E-08</v>
      </c>
      <c r="R55" s="5">
        <v>2.745E-08</v>
      </c>
      <c r="S55" s="5">
        <v>0.93466065396</v>
      </c>
      <c r="T55" s="5">
        <v>5760.4984318976</v>
      </c>
      <c r="U55">
        <f t="shared" si="1"/>
        <v>-2.3281633477305466E-08</v>
      </c>
      <c r="W55" s="5">
        <v>2.3E-09</v>
      </c>
      <c r="X55" s="5">
        <v>1.37790215549</v>
      </c>
      <c r="Y55" s="5">
        <v>4705.7323075436</v>
      </c>
      <c r="Z55">
        <f t="shared" si="2"/>
        <v>1.9626949323323313E-10</v>
      </c>
      <c r="AQ55" s="5">
        <v>9.24E-09</v>
      </c>
      <c r="AR55" s="5">
        <v>3.06451026812</v>
      </c>
      <c r="AS55" s="5">
        <v>4164.311989613</v>
      </c>
      <c r="AT55">
        <f t="shared" si="5"/>
        <v>-5.5391280380965015E-09</v>
      </c>
      <c r="AV55" s="5">
        <v>6.1E-10</v>
      </c>
      <c r="AW55" s="5">
        <v>0.63918772258</v>
      </c>
      <c r="AX55" s="5">
        <v>33794.5437235286</v>
      </c>
      <c r="AY55">
        <f t="shared" si="6"/>
        <v>5.906014274353764E-10</v>
      </c>
      <c r="BP55" s="5">
        <v>1.3641E-07</v>
      </c>
      <c r="BQ55" s="5">
        <v>3.68516118804</v>
      </c>
      <c r="BR55" s="5">
        <v>4705.7323075436</v>
      </c>
      <c r="BS55">
        <f t="shared" si="9"/>
        <v>-1.085091798461211E-07</v>
      </c>
      <c r="BU55" s="5">
        <v>8.02E-09</v>
      </c>
      <c r="BV55" s="5">
        <v>4.10519132088</v>
      </c>
      <c r="BW55" s="5">
        <v>951.7184062506</v>
      </c>
      <c r="BX55">
        <f t="shared" si="10"/>
        <v>-3.4472507747196225E-09</v>
      </c>
      <c r="BZ55" s="5">
        <v>1E-09</v>
      </c>
      <c r="CA55" s="5">
        <v>5.19725292131</v>
      </c>
      <c r="CB55" s="5">
        <v>244287.600007227</v>
      </c>
      <c r="CC55">
        <f t="shared" si="11"/>
        <v>5.500118570753373E-10</v>
      </c>
    </row>
    <row r="56" spans="13:81" ht="12.75">
      <c r="M56" s="5">
        <v>3.5566E-07</v>
      </c>
      <c r="N56" s="5">
        <v>1.77597314691</v>
      </c>
      <c r="O56" s="5">
        <v>6812.766815086</v>
      </c>
      <c r="P56">
        <f t="shared" si="0"/>
        <v>7.75973208651385E-08</v>
      </c>
      <c r="R56" s="5">
        <v>3.25E-08</v>
      </c>
      <c r="S56" s="5">
        <v>3.39954640038</v>
      </c>
      <c r="T56" s="5">
        <v>7632.9432596502</v>
      </c>
      <c r="U56">
        <f t="shared" si="1"/>
        <v>7.947205410828637E-09</v>
      </c>
      <c r="W56" s="5">
        <v>2.52E-09</v>
      </c>
      <c r="X56" s="5">
        <v>0.55330133471</v>
      </c>
      <c r="Y56" s="5">
        <v>6279.5527316424</v>
      </c>
      <c r="Z56">
        <f t="shared" si="2"/>
        <v>-2.4215134079153067E-09</v>
      </c>
      <c r="AQ56" s="5">
        <v>8.67E-09</v>
      </c>
      <c r="AR56" s="5">
        <v>0.55606931068</v>
      </c>
      <c r="AS56" s="5">
        <v>8429.2412664666</v>
      </c>
      <c r="AT56">
        <f t="shared" si="5"/>
        <v>8.497030803667907E-09</v>
      </c>
      <c r="AV56" s="5">
        <v>4.7E-10</v>
      </c>
      <c r="AW56" s="5">
        <v>2.09070235724</v>
      </c>
      <c r="AX56" s="5">
        <v>3128.3887650958</v>
      </c>
      <c r="AY56">
        <f t="shared" si="6"/>
        <v>4.694288915445434E-10</v>
      </c>
      <c r="BP56" s="5">
        <v>1.3139E-07</v>
      </c>
      <c r="BQ56" s="5">
        <v>0.65289581324</v>
      </c>
      <c r="BR56" s="5">
        <v>13367.9726311066</v>
      </c>
      <c r="BS56">
        <f t="shared" si="9"/>
        <v>-1.2205892785323984E-07</v>
      </c>
      <c r="BU56" s="5">
        <v>8.57E-09</v>
      </c>
      <c r="BV56" s="5">
        <v>1.41661697538</v>
      </c>
      <c r="BW56" s="5">
        <v>5753.3848848968</v>
      </c>
      <c r="BX56">
        <f t="shared" si="10"/>
        <v>-8.44426776826502E-09</v>
      </c>
      <c r="BZ56" s="5">
        <v>8E-10</v>
      </c>
      <c r="CA56" s="5">
        <v>6.18440483705</v>
      </c>
      <c r="CB56" s="5">
        <v>1059.3819301892</v>
      </c>
      <c r="CC56">
        <f t="shared" si="11"/>
        <v>5.3306687353685416E-11</v>
      </c>
    </row>
    <row r="57" spans="1:95" s="10" customFormat="1" ht="12.75">
      <c r="A57" s="9" t="s">
        <v>9</v>
      </c>
      <c r="B57" s="9" t="s">
        <v>69</v>
      </c>
      <c r="C57" s="9" t="s">
        <v>70</v>
      </c>
      <c r="D57" s="9" t="s">
        <v>9</v>
      </c>
      <c r="E57" s="9" t="s">
        <v>9</v>
      </c>
      <c r="F57" s="9" t="s">
        <v>9</v>
      </c>
      <c r="J57" s="10" t="s">
        <v>128</v>
      </c>
      <c r="K57" s="10" t="s">
        <v>115</v>
      </c>
      <c r="L57" s="10" t="b">
        <f>AND(2050&lt;A2,A2&lt;=2150)</f>
        <v>0</v>
      </c>
      <c r="M57" s="5">
        <v>3.677E-07</v>
      </c>
      <c r="N57" s="5">
        <v>6.04133859347</v>
      </c>
      <c r="O57" s="5">
        <v>10213.285546211</v>
      </c>
      <c r="P57">
        <f t="shared" si="0"/>
        <v>-1.0800603045344888E-07</v>
      </c>
      <c r="R57" s="5">
        <v>2.277E-08</v>
      </c>
      <c r="S57" s="5">
        <v>5.00277837672</v>
      </c>
      <c r="T57" s="5">
        <v>17789.845619785</v>
      </c>
      <c r="U57">
        <f t="shared" si="1"/>
        <v>-1.1529476592971354E-08</v>
      </c>
      <c r="W57" s="5">
        <v>2.55E-09</v>
      </c>
      <c r="X57" s="5">
        <v>5.26570187369</v>
      </c>
      <c r="Y57" s="5">
        <v>6812.766815086</v>
      </c>
      <c r="Z57">
        <f t="shared" si="2"/>
        <v>-1.3719448948694588E-09</v>
      </c>
      <c r="AB57" s="5"/>
      <c r="AC57" s="5"/>
      <c r="AD57" s="5"/>
      <c r="AG57" s="5"/>
      <c r="AH57" s="5"/>
      <c r="AI57" s="5"/>
      <c r="AL57" s="5"/>
      <c r="AM57" s="5"/>
      <c r="AN57" s="5"/>
      <c r="AQ57" s="5">
        <v>9.88E-09</v>
      </c>
      <c r="AR57" s="5">
        <v>5.97286104208</v>
      </c>
      <c r="AS57" s="5">
        <v>7079.3738568078</v>
      </c>
      <c r="AT57">
        <f t="shared" si="5"/>
        <v>9.798249172715495E-09</v>
      </c>
      <c r="AV57" s="5">
        <v>4.7E-10</v>
      </c>
      <c r="AW57" s="5">
        <v>3.325438433</v>
      </c>
      <c r="AX57" s="5">
        <v>26087.9031415742</v>
      </c>
      <c r="AY57">
        <f t="shared" si="6"/>
        <v>4.3407247791722024E-10</v>
      </c>
      <c r="BA57" s="5"/>
      <c r="BB57" s="5"/>
      <c r="BC57" s="5"/>
      <c r="BF57" s="5"/>
      <c r="BG57" s="5"/>
      <c r="BH57" s="5"/>
      <c r="BK57" s="5"/>
      <c r="BL57" s="5"/>
      <c r="BM57" s="5"/>
      <c r="BP57" s="5">
        <v>1.0414E-07</v>
      </c>
      <c r="BQ57" s="5">
        <v>4.33285688538</v>
      </c>
      <c r="BR57" s="5">
        <v>11769.8536931664</v>
      </c>
      <c r="BS57">
        <f t="shared" si="9"/>
        <v>-3.854753529473275E-09</v>
      </c>
      <c r="BU57" s="5">
        <v>9.94E-09</v>
      </c>
      <c r="BV57" s="5">
        <v>1.14418521187</v>
      </c>
      <c r="BW57" s="5">
        <v>1059.3819301892</v>
      </c>
      <c r="BX57">
        <f t="shared" si="10"/>
        <v>-9.176445961354455E-09</v>
      </c>
      <c r="BZ57" s="5">
        <v>6.9E-10</v>
      </c>
      <c r="CA57" s="5">
        <v>5.25699888595</v>
      </c>
      <c r="CB57" s="5">
        <v>14143.4952424306</v>
      </c>
      <c r="CC57">
        <f t="shared" si="11"/>
        <v>6.47673996688517E-10</v>
      </c>
      <c r="CE57" s="5"/>
      <c r="CF57" s="5"/>
      <c r="CG57" s="5"/>
      <c r="CJ57" s="5"/>
      <c r="CK57" s="5"/>
      <c r="CL57" s="5"/>
      <c r="CO57" s="5"/>
      <c r="CP57" s="5"/>
      <c r="CQ57" s="5"/>
    </row>
    <row r="58" spans="10:81" ht="12.75">
      <c r="J58" t="s">
        <v>98</v>
      </c>
      <c r="K58">
        <f>-20+32*((K3-1820)/100)*((K3-1820)/100)-0.5628*(2150-K3)</f>
        <v>22.76790000000001</v>
      </c>
      <c r="L58">
        <f>K58*L57</f>
        <v>0</v>
      </c>
      <c r="M58" s="5">
        <v>3.6596E-07</v>
      </c>
      <c r="N58" s="5">
        <v>2.56955238628</v>
      </c>
      <c r="O58" s="5">
        <v>1059.3819301892</v>
      </c>
      <c r="P58">
        <f t="shared" si="0"/>
        <v>-1.8813517874244637E-07</v>
      </c>
      <c r="R58" s="5">
        <v>2.075E-08</v>
      </c>
      <c r="S58" s="5">
        <v>3.95534978634</v>
      </c>
      <c r="T58" s="5">
        <v>10213.285546211</v>
      </c>
      <c r="U58">
        <f t="shared" si="1"/>
        <v>-1.4257066098114729E-08</v>
      </c>
      <c r="W58" s="5">
        <v>2.75E-09</v>
      </c>
      <c r="X58" s="5">
        <v>0.67264264272</v>
      </c>
      <c r="Y58" s="5">
        <v>25132.3033999656</v>
      </c>
      <c r="Z58">
        <f t="shared" si="2"/>
        <v>-2.1597212164315657E-09</v>
      </c>
      <c r="AQ58" s="5">
        <v>8.24E-09</v>
      </c>
      <c r="AR58" s="5">
        <v>1.50984806173</v>
      </c>
      <c r="AS58" s="5">
        <v>10447.3878396044</v>
      </c>
      <c r="AT58">
        <f t="shared" si="5"/>
        <v>-8.172905172870586E-09</v>
      </c>
      <c r="AV58" s="5">
        <v>4.9E-10</v>
      </c>
      <c r="AW58" s="5">
        <v>1.60680905005</v>
      </c>
      <c r="AX58" s="5">
        <v>6702.5604938666</v>
      </c>
      <c r="AY58">
        <f t="shared" si="6"/>
        <v>-4.84674556085251E-10</v>
      </c>
      <c r="BP58" s="5">
        <v>9.978E-08</v>
      </c>
      <c r="BQ58" s="5">
        <v>4.20126336355</v>
      </c>
      <c r="BR58" s="5">
        <v>6309.3741697912</v>
      </c>
      <c r="BS58">
        <f t="shared" si="9"/>
        <v>8.093335848377376E-08</v>
      </c>
      <c r="BU58" s="5">
        <v>8.13E-09</v>
      </c>
      <c r="BV58" s="5">
        <v>1.63948433322</v>
      </c>
      <c r="BW58" s="5">
        <v>6681.2248533996</v>
      </c>
      <c r="BX58">
        <f t="shared" si="10"/>
        <v>-8.085119985298952E-09</v>
      </c>
      <c r="BZ58" s="5">
        <v>8.5E-10</v>
      </c>
      <c r="CA58" s="5">
        <v>5.39484725499</v>
      </c>
      <c r="CB58" s="5">
        <v>25132.3033999656</v>
      </c>
      <c r="CC58">
        <f t="shared" si="11"/>
        <v>-5.327177548453697E-10</v>
      </c>
    </row>
    <row r="59" spans="1:81" ht="12.75">
      <c r="A59" t="s">
        <v>73</v>
      </c>
      <c r="B59" t="s">
        <v>74</v>
      </c>
      <c r="C59" t="s">
        <v>6</v>
      </c>
      <c r="M59" s="5">
        <v>3.3291E-07</v>
      </c>
      <c r="N59" s="5">
        <v>0.59309499459</v>
      </c>
      <c r="O59" s="5">
        <v>17789.845619785</v>
      </c>
      <c r="P59">
        <f t="shared" si="0"/>
        <v>3.242766987941882E-07</v>
      </c>
      <c r="R59" s="5">
        <v>2.061E-08</v>
      </c>
      <c r="S59" s="5">
        <v>2.22411683077</v>
      </c>
      <c r="T59" s="5">
        <v>5856.4776591154</v>
      </c>
      <c r="U59">
        <f t="shared" si="1"/>
        <v>8.8543588450477E-09</v>
      </c>
      <c r="W59" s="5">
        <v>1.78E-09</v>
      </c>
      <c r="X59" s="5">
        <v>0.92820785174</v>
      </c>
      <c r="Y59" s="5">
        <v>1990.745017041</v>
      </c>
      <c r="Z59">
        <f t="shared" si="2"/>
        <v>-1.3383872380334704E-09</v>
      </c>
      <c r="AQ59" s="5">
        <v>9.15E-09</v>
      </c>
      <c r="AR59" s="5">
        <v>0.12635654592</v>
      </c>
      <c r="AS59" s="5">
        <v>11015.1064773348</v>
      </c>
      <c r="AT59">
        <f t="shared" si="5"/>
        <v>-8.965561573181855E-09</v>
      </c>
      <c r="AV59" s="5">
        <v>5.7E-10</v>
      </c>
      <c r="AW59" s="5">
        <v>0.11215813438</v>
      </c>
      <c r="AX59" s="5">
        <v>29088.811415985</v>
      </c>
      <c r="AY59">
        <f t="shared" si="6"/>
        <v>5.289960642821492E-10</v>
      </c>
      <c r="BP59" s="5">
        <v>1.0169E-07</v>
      </c>
      <c r="BQ59" s="5">
        <v>1.59390681369</v>
      </c>
      <c r="BR59" s="5">
        <v>4690.4798363586</v>
      </c>
      <c r="BS59">
        <f t="shared" si="9"/>
        <v>7.461003272135749E-09</v>
      </c>
      <c r="BU59" s="5">
        <v>6.62E-09</v>
      </c>
      <c r="BV59" s="5">
        <v>4.5520045226</v>
      </c>
      <c r="BW59" s="5">
        <v>5216.5803728014</v>
      </c>
      <c r="BX59">
        <f t="shared" si="10"/>
        <v>3.1534086632094355E-09</v>
      </c>
      <c r="BZ59" s="5">
        <v>6.6E-10</v>
      </c>
      <c r="CA59" s="5">
        <v>0.51779993906</v>
      </c>
      <c r="CB59" s="5">
        <v>801.8209311238</v>
      </c>
      <c r="CC59">
        <f t="shared" si="11"/>
        <v>1.6111419699702022E-10</v>
      </c>
    </row>
    <row r="60" spans="1:81" ht="12.75">
      <c r="A60">
        <f>DEGREES(ATAN2(COS(A55),SIN(A55)*COS(D22)))</f>
        <v>54.67310110904877</v>
      </c>
      <c r="B60">
        <f>DEGREES(ASIN(SIN(D22)*SIN(A55)))</f>
        <v>19.476694858205732</v>
      </c>
      <c r="C60">
        <f>C25-A61</f>
        <v>83.25751792144361</v>
      </c>
      <c r="M60" s="5">
        <v>3.5954E-07</v>
      </c>
      <c r="N60" s="5">
        <v>1.70876111898</v>
      </c>
      <c r="O60" s="5">
        <v>2352.8661537718</v>
      </c>
      <c r="P60">
        <f t="shared" si="0"/>
        <v>-6.849985049755142E-08</v>
      </c>
      <c r="R60" s="5">
        <v>2.252E-08</v>
      </c>
      <c r="S60" s="5">
        <v>5.67166499885</v>
      </c>
      <c r="T60" s="5">
        <v>11499.6562227928</v>
      </c>
      <c r="U60">
        <f t="shared" si="1"/>
        <v>-1.661027940587768E-08</v>
      </c>
      <c r="W60" s="5">
        <v>2.21E-09</v>
      </c>
      <c r="X60" s="5">
        <v>0.63897368842</v>
      </c>
      <c r="Y60" s="5">
        <v>6256.7775301916</v>
      </c>
      <c r="Z60">
        <f t="shared" si="2"/>
        <v>-1.940046826871245E-09</v>
      </c>
      <c r="AQ60" s="5">
        <v>7.42E-09</v>
      </c>
      <c r="AR60" s="5">
        <v>1.99159139281</v>
      </c>
      <c r="AS60" s="5">
        <v>26087.9031415742</v>
      </c>
      <c r="AT60">
        <f t="shared" si="5"/>
        <v>4.374370511030099E-09</v>
      </c>
      <c r="AV60" s="5">
        <v>5.6E-10</v>
      </c>
      <c r="AW60" s="5">
        <v>5.47982934911</v>
      </c>
      <c r="AX60" s="5">
        <v>775.522611324</v>
      </c>
      <c r="AY60">
        <f t="shared" si="6"/>
        <v>-5.541633780553322E-10</v>
      </c>
      <c r="BP60" s="5">
        <v>7.564E-08</v>
      </c>
      <c r="BQ60" s="5">
        <v>2.6256059739</v>
      </c>
      <c r="BR60" s="5">
        <v>6256.7775301916</v>
      </c>
      <c r="BS60">
        <f t="shared" si="9"/>
        <v>-6.316706602958559E-09</v>
      </c>
      <c r="BU60" s="5">
        <v>6.44E-09</v>
      </c>
      <c r="BV60" s="5">
        <v>4.19478168733</v>
      </c>
      <c r="BW60" s="5">
        <v>6040.3472460174</v>
      </c>
      <c r="BX60">
        <f t="shared" si="10"/>
        <v>-6.356090758899101E-09</v>
      </c>
      <c r="BZ60" s="5">
        <v>5.5E-10</v>
      </c>
      <c r="CA60" s="5">
        <v>5.16878202461</v>
      </c>
      <c r="CB60" s="5">
        <v>7058.5984613154</v>
      </c>
      <c r="CC60">
        <f t="shared" si="11"/>
        <v>3.184836046228109E-10</v>
      </c>
    </row>
    <row r="61" spans="1:81" ht="12.75">
      <c r="A61">
        <f>A60-INT(A60/360)*360</f>
        <v>54.67310110904877</v>
      </c>
      <c r="C61">
        <f>C60-INT(C60/360)*360</f>
        <v>83.25751792144361</v>
      </c>
      <c r="M61" s="5">
        <v>4.0938E-07</v>
      </c>
      <c r="N61" s="5">
        <v>2.39850881707</v>
      </c>
      <c r="O61" s="5">
        <v>19651.048481098</v>
      </c>
      <c r="P61">
        <f t="shared" si="0"/>
        <v>9.44116300858831E-08</v>
      </c>
      <c r="R61" s="5">
        <v>2.148E-08</v>
      </c>
      <c r="S61" s="5">
        <v>5.20184578235</v>
      </c>
      <c r="T61" s="5">
        <v>11513.8833167944</v>
      </c>
      <c r="U61">
        <f t="shared" si="1"/>
        <v>-1.122634432850928E-08</v>
      </c>
      <c r="W61" s="5">
        <v>1.55E-09</v>
      </c>
      <c r="X61" s="5">
        <v>0.77319790838</v>
      </c>
      <c r="Y61" s="5">
        <v>14143.4952424306</v>
      </c>
      <c r="Z61">
        <f t="shared" si="2"/>
        <v>1.9092416544720289E-10</v>
      </c>
      <c r="AQ61" s="5">
        <v>1.039E-08</v>
      </c>
      <c r="AR61" s="5">
        <v>3.14159265359</v>
      </c>
      <c r="AS61" s="5">
        <v>0</v>
      </c>
      <c r="AT61">
        <f t="shared" si="5"/>
        <v>-1.039E-08</v>
      </c>
      <c r="AV61" s="5">
        <v>5E-10</v>
      </c>
      <c r="AW61" s="5">
        <v>1.89396788463</v>
      </c>
      <c r="AX61" s="5">
        <v>12139.5535091068</v>
      </c>
      <c r="AY61">
        <f t="shared" si="6"/>
        <v>3.1157319044922564E-10</v>
      </c>
      <c r="BP61" s="5">
        <v>9.661E-08</v>
      </c>
      <c r="BQ61" s="5">
        <v>3.6758679122</v>
      </c>
      <c r="BR61" s="5">
        <v>27511.4678735372</v>
      </c>
      <c r="BS61">
        <f t="shared" si="9"/>
        <v>5.7397464059206256E-08</v>
      </c>
      <c r="BU61" s="5">
        <v>6.26E-09</v>
      </c>
      <c r="BV61" s="5">
        <v>1.50767713598</v>
      </c>
      <c r="BW61" s="5">
        <v>5643.1785636774</v>
      </c>
      <c r="BX61">
        <f t="shared" si="10"/>
        <v>-1.0226690871405584E-10</v>
      </c>
      <c r="BZ61" s="5">
        <v>5.1E-10</v>
      </c>
      <c r="CA61" s="5">
        <v>3.88759155247</v>
      </c>
      <c r="CB61" s="5">
        <v>12036.4607348882</v>
      </c>
      <c r="CC61">
        <f t="shared" si="11"/>
        <v>2.95657026811033E-11</v>
      </c>
    </row>
    <row r="62" spans="13:81" ht="12.75">
      <c r="M62" s="5">
        <v>3.0047E-07</v>
      </c>
      <c r="N62" s="5">
        <v>2.73975123935</v>
      </c>
      <c r="O62" s="5">
        <v>1349.8674096588</v>
      </c>
      <c r="P62">
        <f t="shared" si="0"/>
        <v>-1.0975063106684354E-07</v>
      </c>
      <c r="R62" s="5">
        <v>1.886E-08</v>
      </c>
      <c r="S62" s="5">
        <v>0.53198320577</v>
      </c>
      <c r="T62" s="5">
        <v>3340.6124266998</v>
      </c>
      <c r="U62">
        <f t="shared" si="1"/>
        <v>6.295260833862213E-09</v>
      </c>
      <c r="W62" s="5">
        <v>1.5E-09</v>
      </c>
      <c r="X62" s="5">
        <v>2.40470465561</v>
      </c>
      <c r="Y62" s="5">
        <v>426.598190876</v>
      </c>
      <c r="Z62">
        <f t="shared" si="2"/>
        <v>-3.8052525439269E-10</v>
      </c>
      <c r="AQ62" s="5">
        <v>8.5E-09</v>
      </c>
      <c r="AR62" s="5">
        <v>4.24120016095</v>
      </c>
      <c r="AS62" s="5">
        <v>29864.334027309</v>
      </c>
      <c r="AT62">
        <f t="shared" si="5"/>
        <v>1.4538587675198103E-10</v>
      </c>
      <c r="AV62" s="5">
        <v>4.7E-10</v>
      </c>
      <c r="AW62" s="5">
        <v>2.9721490724</v>
      </c>
      <c r="AX62" s="5">
        <v>20426.571092422</v>
      </c>
      <c r="AY62">
        <f t="shared" si="6"/>
        <v>4.5143380596169254E-10</v>
      </c>
      <c r="BP62" s="5">
        <v>6.743E-08</v>
      </c>
      <c r="BQ62" s="5">
        <v>0.56270332741</v>
      </c>
      <c r="BR62" s="5">
        <v>3340.6124266998</v>
      </c>
      <c r="BS62">
        <f t="shared" si="9"/>
        <v>2.0544425705119547E-08</v>
      </c>
      <c r="BU62" s="5">
        <v>5.9E-09</v>
      </c>
      <c r="BV62" s="5">
        <v>6.18277145205</v>
      </c>
      <c r="BW62" s="5">
        <v>4164.311989613</v>
      </c>
      <c r="BX62">
        <f t="shared" si="10"/>
        <v>3.4257575531611448E-09</v>
      </c>
      <c r="BZ62" s="5">
        <v>5E-10</v>
      </c>
      <c r="CA62" s="5">
        <v>5.57636570536</v>
      </c>
      <c r="CB62" s="5">
        <v>6290.1893969922</v>
      </c>
      <c r="CC62">
        <f t="shared" si="11"/>
        <v>-8.579544212182801E-11</v>
      </c>
    </row>
    <row r="63" spans="1:95" s="10" customFormat="1" ht="12.75">
      <c r="A63" s="9" t="s">
        <v>9</v>
      </c>
      <c r="B63" s="9" t="s">
        <v>76</v>
      </c>
      <c r="C63" s="9" t="s">
        <v>9</v>
      </c>
      <c r="D63" s="9" t="s">
        <v>9</v>
      </c>
      <c r="E63" s="9" t="s">
        <v>9</v>
      </c>
      <c r="F63" s="9" t="s">
        <v>9</v>
      </c>
      <c r="M63" s="5">
        <v>3.0412E-07</v>
      </c>
      <c r="N63" s="5">
        <v>0.44294464135</v>
      </c>
      <c r="O63" s="5">
        <v>83996.8473181118</v>
      </c>
      <c r="P63">
        <f t="shared" si="0"/>
        <v>2.1472028064162226E-07</v>
      </c>
      <c r="R63" s="5">
        <v>1.875E-08</v>
      </c>
      <c r="S63" s="5">
        <v>4.73511970207</v>
      </c>
      <c r="T63" s="5">
        <v>83996.8473181118</v>
      </c>
      <c r="U63">
        <f t="shared" si="1"/>
        <v>-1.752368032115705E-08</v>
      </c>
      <c r="W63" s="5">
        <v>1.96E-09</v>
      </c>
      <c r="X63" s="5">
        <v>6.06877865012</v>
      </c>
      <c r="Y63" s="5">
        <v>640.8776073822</v>
      </c>
      <c r="Z63">
        <f t="shared" si="2"/>
        <v>-9.45463016323388E-10</v>
      </c>
      <c r="AB63" s="5"/>
      <c r="AC63" s="5"/>
      <c r="AD63" s="5"/>
      <c r="AG63" s="5"/>
      <c r="AH63" s="5"/>
      <c r="AI63" s="5"/>
      <c r="AL63" s="5"/>
      <c r="AM63" s="5"/>
      <c r="AN63" s="5"/>
      <c r="AQ63" s="5">
        <v>7.55E-09</v>
      </c>
      <c r="AR63" s="5">
        <v>2.8963187332</v>
      </c>
      <c r="AS63" s="5">
        <v>4732.0306273434</v>
      </c>
      <c r="AT63">
        <f t="shared" si="5"/>
        <v>-7.377902965363947E-09</v>
      </c>
      <c r="AV63" s="5">
        <v>4.1E-10</v>
      </c>
      <c r="AW63" s="5">
        <v>5.5532939489</v>
      </c>
      <c r="AX63" s="5">
        <v>11015.1064773348</v>
      </c>
      <c r="AY63">
        <f t="shared" si="6"/>
        <v>-2.013770911637571E-10</v>
      </c>
      <c r="BA63" s="5"/>
      <c r="BB63" s="5"/>
      <c r="BC63" s="5"/>
      <c r="BF63" s="5"/>
      <c r="BG63" s="5"/>
      <c r="BH63" s="5"/>
      <c r="BK63" s="5"/>
      <c r="BL63" s="5"/>
      <c r="BM63" s="5"/>
      <c r="BP63" s="5">
        <v>8.743E-08</v>
      </c>
      <c r="BQ63" s="5">
        <v>6.06359123461</v>
      </c>
      <c r="BR63" s="5">
        <v>1748.016413067</v>
      </c>
      <c r="BS63">
        <f t="shared" si="9"/>
        <v>-3.4189146970349334E-08</v>
      </c>
      <c r="BU63" s="5">
        <v>6.35E-09</v>
      </c>
      <c r="BV63" s="5">
        <v>0.52413263542</v>
      </c>
      <c r="BW63" s="5">
        <v>6290.1893969922</v>
      </c>
      <c r="BX63">
        <f t="shared" si="10"/>
        <v>-6.26123551288553E-09</v>
      </c>
      <c r="BZ63" s="5">
        <v>6.1E-10</v>
      </c>
      <c r="CA63" s="5">
        <v>2.24359003264</v>
      </c>
      <c r="CB63" s="5">
        <v>8635.9420037632</v>
      </c>
      <c r="CC63">
        <f t="shared" si="11"/>
        <v>-3.6672297035588595E-11</v>
      </c>
      <c r="CE63" s="5"/>
      <c r="CF63" s="5"/>
      <c r="CG63" s="5"/>
      <c r="CJ63" s="5"/>
      <c r="CK63" s="5"/>
      <c r="CL63" s="5"/>
      <c r="CO63" s="5"/>
      <c r="CP63" s="5"/>
      <c r="CQ63" s="5"/>
    </row>
    <row r="64" spans="13:81" ht="12.75">
      <c r="M64" s="5">
        <v>2.3663E-07</v>
      </c>
      <c r="N64" s="5">
        <v>0.48473567763</v>
      </c>
      <c r="O64" s="5">
        <v>8031.0922630584</v>
      </c>
      <c r="P64">
        <f t="shared" si="0"/>
        <v>1.101334394625405E-07</v>
      </c>
      <c r="R64" s="5">
        <v>2.06E-08</v>
      </c>
      <c r="S64" s="5">
        <v>2.54987293999</v>
      </c>
      <c r="T64" s="5">
        <v>25132.3033999656</v>
      </c>
      <c r="U64">
        <f t="shared" si="1"/>
        <v>1.7038672043059568E-08</v>
      </c>
      <c r="W64" s="5">
        <v>1.37E-09</v>
      </c>
      <c r="X64" s="5">
        <v>2.21679460145</v>
      </c>
      <c r="Y64" s="5">
        <v>8429.2412664666</v>
      </c>
      <c r="Z64">
        <f t="shared" si="2"/>
        <v>-3.917728696331467E-10</v>
      </c>
      <c r="AQ64" s="5">
        <v>7.14E-09</v>
      </c>
      <c r="AR64" s="5">
        <v>1.37548118603</v>
      </c>
      <c r="AS64" s="5">
        <v>2146.1654164752</v>
      </c>
      <c r="AT64">
        <f t="shared" si="5"/>
        <v>1.6651158236868692E-09</v>
      </c>
      <c r="AV64" s="5">
        <v>4.1E-10</v>
      </c>
      <c r="AW64" s="5">
        <v>5.91861144924</v>
      </c>
      <c r="AX64" s="5">
        <v>23581.2581773176</v>
      </c>
      <c r="AY64">
        <f t="shared" si="6"/>
        <v>2.624352209836712E-10</v>
      </c>
      <c r="BP64" s="5">
        <v>7.786E-08</v>
      </c>
      <c r="BQ64" s="5">
        <v>3.67371235637</v>
      </c>
      <c r="BR64" s="5">
        <v>12168.0026965746</v>
      </c>
      <c r="BS64">
        <f t="shared" si="9"/>
        <v>-7.759000974469251E-08</v>
      </c>
      <c r="BU64" s="5">
        <v>6.5E-09</v>
      </c>
      <c r="BV64" s="5">
        <v>0.9793569035</v>
      </c>
      <c r="BW64" s="5">
        <v>25132.3033999656</v>
      </c>
      <c r="BX64">
        <f t="shared" si="10"/>
        <v>-3.65165775919141E-09</v>
      </c>
      <c r="BZ64" s="5">
        <v>5E-10</v>
      </c>
      <c r="CA64" s="5">
        <v>5.54441900966</v>
      </c>
      <c r="CB64" s="5">
        <v>1990.745017041</v>
      </c>
      <c r="CC64">
        <f t="shared" si="11"/>
        <v>3.6421595838992825E-10</v>
      </c>
    </row>
    <row r="65" spans="1:81" ht="12.75">
      <c r="A65" t="s">
        <v>19</v>
      </c>
      <c r="B65" t="s">
        <v>78</v>
      </c>
      <c r="C65" t="s">
        <v>77</v>
      </c>
      <c r="D65" t="s">
        <v>130</v>
      </c>
      <c r="E65" t="s">
        <v>129</v>
      </c>
      <c r="M65" s="5">
        <v>2.3574E-07</v>
      </c>
      <c r="N65" s="5">
        <v>2.06527720049</v>
      </c>
      <c r="O65" s="5">
        <v>3340.6124266998</v>
      </c>
      <c r="P65">
        <f t="shared" si="0"/>
        <v>-2.1911327505750676E-07</v>
      </c>
      <c r="R65" s="5">
        <v>1.794E-08</v>
      </c>
      <c r="S65" s="5">
        <v>1.47435409831</v>
      </c>
      <c r="T65" s="5">
        <v>4164.311989613</v>
      </c>
      <c r="U65">
        <f t="shared" si="1"/>
        <v>1.4564591912002211E-08</v>
      </c>
      <c r="W65" s="5">
        <v>1.27E-09</v>
      </c>
      <c r="X65" s="5">
        <v>3.26094223174</v>
      </c>
      <c r="Y65" s="5">
        <v>17789.845619785</v>
      </c>
      <c r="Z65">
        <f t="shared" si="2"/>
        <v>-9.69727032516E-10</v>
      </c>
      <c r="AQ65" s="5">
        <v>7.08E-09</v>
      </c>
      <c r="AR65" s="5">
        <v>1.91406542362</v>
      </c>
      <c r="AS65" s="5">
        <v>8031.0922630584</v>
      </c>
      <c r="AT65">
        <f t="shared" si="5"/>
        <v>-5.739211395543136E-09</v>
      </c>
      <c r="AV65" s="5">
        <v>4.5E-10</v>
      </c>
      <c r="AW65" s="5">
        <v>4.95273290181</v>
      </c>
      <c r="AX65" s="5">
        <v>5863.5912061162</v>
      </c>
      <c r="AY65">
        <f t="shared" si="6"/>
        <v>-5.6654270162359847E-11</v>
      </c>
      <c r="BP65" s="5">
        <v>6.633E-08</v>
      </c>
      <c r="BQ65" s="5">
        <v>5.66149277792</v>
      </c>
      <c r="BR65" s="5">
        <v>11371.7046897582</v>
      </c>
      <c r="BS65">
        <f t="shared" si="9"/>
        <v>5.162863407007668E-08</v>
      </c>
      <c r="BU65" s="5">
        <v>5.68E-09</v>
      </c>
      <c r="BV65" s="5">
        <v>2.30125315873</v>
      </c>
      <c r="BW65" s="5">
        <v>10973.55568635</v>
      </c>
      <c r="BX65">
        <f t="shared" si="10"/>
        <v>-8.643401781675589E-10</v>
      </c>
      <c r="BZ65" s="5">
        <v>5.6E-10</v>
      </c>
      <c r="CA65" s="5">
        <v>4.0030107804</v>
      </c>
      <c r="CB65" s="5">
        <v>13367.9726311066</v>
      </c>
      <c r="CC65">
        <f t="shared" si="11"/>
        <v>4.660526566632309E-10</v>
      </c>
    </row>
    <row r="66" spans="1:81" ht="12.75">
      <c r="A66">
        <f>280.4664567+E16*(360007.6982779+E16*(0.03032028+E16*(1/49931-E16*(1/15300-E16/2000000))))</f>
        <v>5095.580072824297</v>
      </c>
      <c r="B66">
        <f>A66-INT(A66/360)*360</f>
        <v>55.58007282429662</v>
      </c>
      <c r="C66">
        <f>B66-0.0057183-A61+F19*COS(D22)</f>
        <v>0.9042178350705797</v>
      </c>
      <c r="D66">
        <f>4*C66</f>
        <v>3.616871340282319</v>
      </c>
      <c r="E66">
        <f>IF(ABS(D66)&lt;ABS(D67),D66,D67)</f>
        <v>3.616871340282319</v>
      </c>
      <c r="M66" s="5">
        <v>2.1089E-07</v>
      </c>
      <c r="N66" s="5">
        <v>4.14825464101</v>
      </c>
      <c r="O66" s="5">
        <v>951.7184062506</v>
      </c>
      <c r="P66">
        <f aca="true" t="shared" si="14" ref="P66:P129">M66*COS(N66+O66*$E$16)</f>
        <v>-8.23658385988732E-08</v>
      </c>
      <c r="R66" s="5">
        <v>1.778E-08</v>
      </c>
      <c r="S66" s="5">
        <v>3.02473091781</v>
      </c>
      <c r="T66" s="5">
        <v>5.5229243074</v>
      </c>
      <c r="U66">
        <f aca="true" t="shared" si="15" ref="U66:U129">R66*COS(S66+T66*$E$16)</f>
        <v>-1.7763570685075905E-08</v>
      </c>
      <c r="W66" s="5">
        <v>1.28E-09</v>
      </c>
      <c r="X66" s="5">
        <v>5.47237279946</v>
      </c>
      <c r="Y66" s="5">
        <v>12036.4607348882</v>
      </c>
      <c r="Z66">
        <f aca="true" t="shared" si="16" ref="Z66:Z129">W66*COS(X66+Y66*$E$16)</f>
        <v>-1.278760058006015E-09</v>
      </c>
      <c r="AQ66" s="5">
        <v>7.46E-09</v>
      </c>
      <c r="AR66" s="5">
        <v>0.57893808616</v>
      </c>
      <c r="AS66" s="5">
        <v>796.2980068164</v>
      </c>
      <c r="AT66">
        <f aca="true" t="shared" si="17" ref="AT66:AT129">AQ66*COS(AR66+AS66*$E$16)</f>
        <v>1.728832598891009E-09</v>
      </c>
      <c r="AV66" s="5">
        <v>5E-10</v>
      </c>
      <c r="AW66" s="5">
        <v>3.62740835096</v>
      </c>
      <c r="AX66" s="5">
        <v>41654.9631159678</v>
      </c>
      <c r="AY66">
        <f aca="true" t="shared" si="18" ref="AY66:AY99">AV66*COS(AW66+AX66*$E$16)</f>
        <v>5.2583072025831E-12</v>
      </c>
      <c r="BP66" s="5">
        <v>7.712E-08</v>
      </c>
      <c r="BQ66" s="5">
        <v>0.31242577789</v>
      </c>
      <c r="BR66" s="5">
        <v>7632.9432596502</v>
      </c>
      <c r="BS66">
        <f aca="true" t="shared" si="19" ref="BS66:BS129">BP66*COS(BQ66+BR66*$E$16)</f>
        <v>-2.2901474138111114E-08</v>
      </c>
      <c r="BU66" s="5">
        <v>5.47E-09</v>
      </c>
      <c r="BV66" s="5">
        <v>5.27256412213</v>
      </c>
      <c r="BW66" s="5">
        <v>3340.6124266998</v>
      </c>
      <c r="BX66">
        <f aca="true" t="shared" si="20" ref="BX66:BX129">BU66*COS(BV66+BW66*$E$16)</f>
        <v>5.205701334726833E-09</v>
      </c>
      <c r="BZ66" s="5">
        <v>5.2E-10</v>
      </c>
      <c r="CA66" s="5">
        <v>4.13138898038</v>
      </c>
      <c r="CB66" s="5">
        <v>7860.4193924392</v>
      </c>
      <c r="CC66">
        <f aca="true" t="shared" si="21" ref="CC66:CC129">BZ66*COS(CA66+CB66*$E$16)</f>
        <v>-4.007127275687304E-10</v>
      </c>
    </row>
    <row r="67" spans="2:81" ht="12.75">
      <c r="B67">
        <f>B66-360</f>
        <v>-304.4199271757034</v>
      </c>
      <c r="C67">
        <f>B67-0.0057183-A61+F19*COS(D22)</f>
        <v>-359.09578216492946</v>
      </c>
      <c r="D67" s="14">
        <f>4*C67</f>
        <v>-1436.3831286597178</v>
      </c>
      <c r="E67">
        <f>TRUNC(E66)</f>
        <v>3</v>
      </c>
      <c r="F67" s="15">
        <f>ROUND(60*ABS(E66-E67),0)</f>
        <v>37</v>
      </c>
      <c r="M67" s="5">
        <v>2.4738E-07</v>
      </c>
      <c r="N67" s="5">
        <v>0.21484762138</v>
      </c>
      <c r="O67" s="5">
        <v>3.5904286518</v>
      </c>
      <c r="P67">
        <f t="shared" si="14"/>
        <v>2.388820648502444E-07</v>
      </c>
      <c r="R67" s="5">
        <v>2.029E-08</v>
      </c>
      <c r="S67" s="5">
        <v>0.90960209983</v>
      </c>
      <c r="T67" s="5">
        <v>6256.7775301916</v>
      </c>
      <c r="U67">
        <f t="shared" si="15"/>
        <v>-1.976115844652918E-08</v>
      </c>
      <c r="W67" s="5">
        <v>1.22E-09</v>
      </c>
      <c r="X67" s="5">
        <v>2.16291082757</v>
      </c>
      <c r="Y67" s="5">
        <v>10213.285546211</v>
      </c>
      <c r="Z67">
        <f t="shared" si="16"/>
        <v>1.0490109268841238E-09</v>
      </c>
      <c r="AQ67" s="5">
        <v>8.02E-09</v>
      </c>
      <c r="AR67" s="5">
        <v>5.1233913723</v>
      </c>
      <c r="AS67" s="5">
        <v>2942.4634232916</v>
      </c>
      <c r="AT67">
        <f t="shared" si="17"/>
        <v>7.051131601231731E-09</v>
      </c>
      <c r="AV67" s="5">
        <v>3.7E-10</v>
      </c>
      <c r="AW67" s="5">
        <v>6.09033460601</v>
      </c>
      <c r="AX67" s="5">
        <v>64809.8055049412</v>
      </c>
      <c r="AY67">
        <f t="shared" si="18"/>
        <v>3.3485924099530383E-10</v>
      </c>
      <c r="BP67" s="5">
        <v>6.592E-08</v>
      </c>
      <c r="BQ67" s="5">
        <v>3.13576266188</v>
      </c>
      <c r="BR67" s="5">
        <v>801.8209311238</v>
      </c>
      <c r="BS67">
        <f t="shared" si="19"/>
        <v>1.8028848432218927E-08</v>
      </c>
      <c r="BU67" s="5">
        <v>5.47E-09</v>
      </c>
      <c r="BV67" s="5">
        <v>2.20144422886</v>
      </c>
      <c r="BW67" s="5">
        <v>1592.5960136328</v>
      </c>
      <c r="BX67">
        <f t="shared" si="20"/>
        <v>-3.2517413199424604E-10</v>
      </c>
      <c r="BZ67" s="5">
        <v>5.2E-10</v>
      </c>
      <c r="CA67" s="5">
        <v>3.90943054011</v>
      </c>
      <c r="CB67" s="5">
        <v>26.2983197998</v>
      </c>
      <c r="CC67">
        <f t="shared" si="21"/>
        <v>-2.267520463141475E-10</v>
      </c>
    </row>
    <row r="68" spans="13:81" ht="12.75">
      <c r="M68" s="5">
        <v>2.5352E-07</v>
      </c>
      <c r="N68" s="5">
        <v>3.16470953405</v>
      </c>
      <c r="O68" s="5">
        <v>4690.4798363586</v>
      </c>
      <c r="P68">
        <f t="shared" si="14"/>
        <v>-2.528368276844288E-07</v>
      </c>
      <c r="R68" s="5">
        <v>2.075E-08</v>
      </c>
      <c r="S68" s="5">
        <v>2.26767270157</v>
      </c>
      <c r="T68" s="5">
        <v>522.5774180938</v>
      </c>
      <c r="U68">
        <f t="shared" si="15"/>
        <v>-2.045919199967496E-08</v>
      </c>
      <c r="W68" s="5">
        <v>1.18E-09</v>
      </c>
      <c r="X68" s="5">
        <v>0.45789822268</v>
      </c>
      <c r="Y68" s="5">
        <v>7058.5984613154</v>
      </c>
      <c r="Z68">
        <f t="shared" si="16"/>
        <v>9.610057296371911E-10</v>
      </c>
      <c r="AQ68" s="5">
        <v>7.51E-09</v>
      </c>
      <c r="AR68" s="5">
        <v>1.67479850166</v>
      </c>
      <c r="AS68" s="5">
        <v>21228.3920235458</v>
      </c>
      <c r="AT68">
        <f t="shared" si="17"/>
        <v>-7.218020319979931E-09</v>
      </c>
      <c r="AV68" s="5">
        <v>3.7E-10</v>
      </c>
      <c r="AW68" s="5">
        <v>5.86153655431</v>
      </c>
      <c r="AX68" s="5">
        <v>12566.1516999828</v>
      </c>
      <c r="AY68">
        <f t="shared" si="18"/>
        <v>-1.5229070063947075E-10</v>
      </c>
      <c r="BP68" s="5">
        <v>7.46E-08</v>
      </c>
      <c r="BQ68" s="5">
        <v>5.64757188143</v>
      </c>
      <c r="BR68" s="5">
        <v>11926.2544136688</v>
      </c>
      <c r="BS68">
        <f t="shared" si="19"/>
        <v>-1.685913220915355E-08</v>
      </c>
      <c r="BU68" s="5">
        <v>5.26E-09</v>
      </c>
      <c r="BV68" s="5">
        <v>0.92464258226</v>
      </c>
      <c r="BW68" s="5">
        <v>11371.7046897582</v>
      </c>
      <c r="BX68">
        <f t="shared" si="20"/>
        <v>-3.201195877590078E-09</v>
      </c>
      <c r="BZ68" s="5">
        <v>4.1E-10</v>
      </c>
      <c r="CA68" s="5">
        <v>3.5712848278</v>
      </c>
      <c r="CB68" s="5">
        <v>7079.3738568078</v>
      </c>
      <c r="CC68">
        <f t="shared" si="21"/>
        <v>-2.6477125584103544E-10</v>
      </c>
    </row>
    <row r="69" spans="13:81" ht="12.75">
      <c r="M69" s="5">
        <v>2.282E-07</v>
      </c>
      <c r="N69" s="5">
        <v>5.22197888032</v>
      </c>
      <c r="O69" s="5">
        <v>4705.7323075436</v>
      </c>
      <c r="P69">
        <f t="shared" si="14"/>
        <v>1.320429338378676E-07</v>
      </c>
      <c r="R69" s="5">
        <v>1.772E-08</v>
      </c>
      <c r="S69" s="5">
        <v>3.02622802353</v>
      </c>
      <c r="T69" s="5">
        <v>5753.3848848968</v>
      </c>
      <c r="U69">
        <f t="shared" si="15"/>
        <v>-2.344402502041308E-09</v>
      </c>
      <c r="W69" s="5">
        <v>1.41E-09</v>
      </c>
      <c r="X69" s="5">
        <v>2.34932647403</v>
      </c>
      <c r="Y69" s="5">
        <v>11506.7697697936</v>
      </c>
      <c r="Z69">
        <f t="shared" si="16"/>
        <v>9.54774728429151E-10</v>
      </c>
      <c r="AQ69" s="5">
        <v>6.02E-09</v>
      </c>
      <c r="AR69" s="5">
        <v>4.09976538826</v>
      </c>
      <c r="AS69" s="5">
        <v>64809.8055049412</v>
      </c>
      <c r="AT69">
        <f t="shared" si="17"/>
        <v>-4.558796506275669E-09</v>
      </c>
      <c r="AV69" s="5">
        <v>4.6E-10</v>
      </c>
      <c r="AW69" s="5">
        <v>1.65798680284</v>
      </c>
      <c r="AX69" s="5">
        <v>25158.6017197654</v>
      </c>
      <c r="AY69">
        <f t="shared" si="18"/>
        <v>1.9335579131991363E-10</v>
      </c>
      <c r="BP69" s="5">
        <v>6.933E-08</v>
      </c>
      <c r="BQ69" s="5">
        <v>2.923845864</v>
      </c>
      <c r="BR69" s="5">
        <v>6681.2248533996</v>
      </c>
      <c r="BS69">
        <f t="shared" si="19"/>
        <v>-2.6458298978214915E-08</v>
      </c>
      <c r="BU69" s="5">
        <v>4.9E-09</v>
      </c>
      <c r="BV69" s="5">
        <v>5.90951388655</v>
      </c>
      <c r="BW69" s="5">
        <v>3894.1818295422</v>
      </c>
      <c r="BX69">
        <f t="shared" si="20"/>
        <v>6.116504019561737E-10</v>
      </c>
      <c r="BZ69" s="5">
        <v>5.6E-10</v>
      </c>
      <c r="CA69" s="5">
        <v>2.76959005761</v>
      </c>
      <c r="CB69" s="5">
        <v>90955.5516944961</v>
      </c>
      <c r="CC69">
        <f t="shared" si="21"/>
        <v>5.231424535042267E-10</v>
      </c>
    </row>
    <row r="70" spans="13:81" ht="12.75">
      <c r="M70" s="5">
        <v>2.1419E-07</v>
      </c>
      <c r="N70" s="5">
        <v>1.42563735525</v>
      </c>
      <c r="O70" s="5">
        <v>16730.4636895958</v>
      </c>
      <c r="P70">
        <f t="shared" si="14"/>
        <v>1.1598188929107324E-07</v>
      </c>
      <c r="R70" s="5">
        <v>1.569E-08</v>
      </c>
      <c r="S70" s="5">
        <v>6.12410242782</v>
      </c>
      <c r="T70" s="5">
        <v>5216.5803728014</v>
      </c>
      <c r="U70">
        <f t="shared" si="15"/>
        <v>1.378581963128739E-08</v>
      </c>
      <c r="W70" s="5">
        <v>1E-09</v>
      </c>
      <c r="X70" s="5">
        <v>0.85621569847</v>
      </c>
      <c r="Y70" s="5">
        <v>6290.1893969922</v>
      </c>
      <c r="Z70">
        <f t="shared" si="16"/>
        <v>-9.86470332575299E-10</v>
      </c>
      <c r="AQ70" s="5">
        <v>5.94E-09</v>
      </c>
      <c r="AR70" s="5">
        <v>3.49580704962</v>
      </c>
      <c r="AS70" s="5">
        <v>16496.3613962024</v>
      </c>
      <c r="AT70">
        <f t="shared" si="17"/>
        <v>-2.788944203789936E-09</v>
      </c>
      <c r="AV70" s="5">
        <v>3.8E-10</v>
      </c>
      <c r="AW70" s="5">
        <v>2.00673650251</v>
      </c>
      <c r="AX70" s="5">
        <v>426.598190876</v>
      </c>
      <c r="AY70">
        <f t="shared" si="18"/>
        <v>5.3583867212361536E-11</v>
      </c>
      <c r="BP70" s="5">
        <v>6.802E-08</v>
      </c>
      <c r="BQ70" s="5">
        <v>1.4232980642</v>
      </c>
      <c r="BR70" s="5">
        <v>23013.5395395872</v>
      </c>
      <c r="BS70">
        <f t="shared" si="19"/>
        <v>1.4631911418763742E-08</v>
      </c>
      <c r="BU70" s="5">
        <v>4.78E-09</v>
      </c>
      <c r="BV70" s="5">
        <v>1.66857963179</v>
      </c>
      <c r="BW70" s="5">
        <v>12168.0026965746</v>
      </c>
      <c r="BX70">
        <f t="shared" si="20"/>
        <v>2.3652856912993744E-09</v>
      </c>
      <c r="BZ70" s="5">
        <v>4.2E-10</v>
      </c>
      <c r="CA70" s="5">
        <v>1.91461189199</v>
      </c>
      <c r="CB70" s="5">
        <v>7477.522860216</v>
      </c>
      <c r="CC70">
        <f t="shared" si="21"/>
        <v>7.315021920279142E-11</v>
      </c>
    </row>
    <row r="71" spans="13:81" ht="12.75">
      <c r="M71" s="5">
        <v>2.1891E-07</v>
      </c>
      <c r="N71" s="5">
        <v>5.55594302562</v>
      </c>
      <c r="O71" s="5">
        <v>553.5694028424</v>
      </c>
      <c r="P71">
        <f t="shared" si="14"/>
        <v>2.0217263086106987E-07</v>
      </c>
      <c r="R71" s="5">
        <v>1.59E-08</v>
      </c>
      <c r="S71" s="5">
        <v>4.63713748247</v>
      </c>
      <c r="T71" s="5">
        <v>3.2863574178</v>
      </c>
      <c r="U71">
        <f t="shared" si="15"/>
        <v>-4.975310590981475E-10</v>
      </c>
      <c r="W71" s="5">
        <v>9.2E-10</v>
      </c>
      <c r="X71" s="5">
        <v>5.10587476002</v>
      </c>
      <c r="Y71" s="5">
        <v>7079.3738568078</v>
      </c>
      <c r="Z71">
        <f t="shared" si="16"/>
        <v>6.804722516919667E-10</v>
      </c>
      <c r="AQ71" s="5">
        <v>5.92E-09</v>
      </c>
      <c r="AR71" s="5">
        <v>4.59481504319</v>
      </c>
      <c r="AS71" s="5">
        <v>4690.4798363586</v>
      </c>
      <c r="AT71">
        <f t="shared" si="17"/>
        <v>-1.2579294638054761E-09</v>
      </c>
      <c r="AV71" s="5">
        <v>3.6E-10</v>
      </c>
      <c r="AW71" s="5">
        <v>6.24373396652</v>
      </c>
      <c r="AX71" s="5">
        <v>6283.14316029419</v>
      </c>
      <c r="AY71">
        <f t="shared" si="18"/>
        <v>-2.4422036510370186E-10</v>
      </c>
      <c r="BP71" s="5">
        <v>6.115E-08</v>
      </c>
      <c r="BQ71" s="5">
        <v>5.13393615454</v>
      </c>
      <c r="BR71" s="5">
        <v>1194.4470102246</v>
      </c>
      <c r="BS71">
        <f t="shared" si="19"/>
        <v>-3.889349054574809E-08</v>
      </c>
      <c r="BU71" s="5">
        <v>5.16E-09</v>
      </c>
      <c r="BV71" s="5">
        <v>3.59803483887</v>
      </c>
      <c r="BW71" s="5">
        <v>10969.9652576982</v>
      </c>
      <c r="BX71">
        <f t="shared" si="20"/>
        <v>4.589215707488304E-09</v>
      </c>
      <c r="BZ71" s="5">
        <v>4.2E-10</v>
      </c>
      <c r="CA71" s="5">
        <v>0.42728171713</v>
      </c>
      <c r="CB71" s="5">
        <v>10213.285546211</v>
      </c>
      <c r="CC71">
        <f t="shared" si="21"/>
        <v>1.52269002876466E-10</v>
      </c>
    </row>
    <row r="72" spans="13:81" ht="12.75">
      <c r="M72" s="5">
        <v>1.7481E-07</v>
      </c>
      <c r="N72" s="5">
        <v>4.56052900359</v>
      </c>
      <c r="O72" s="5">
        <v>135.0650800354</v>
      </c>
      <c r="P72">
        <f t="shared" si="14"/>
        <v>1.7419593141715348E-07</v>
      </c>
      <c r="R72" s="5">
        <v>1.542E-08</v>
      </c>
      <c r="S72" s="5">
        <v>4.20004448567</v>
      </c>
      <c r="T72" s="5">
        <v>13367.9726311066</v>
      </c>
      <c r="U72">
        <f t="shared" si="15"/>
        <v>1.091119814305433E-08</v>
      </c>
      <c r="W72" s="5">
        <v>1.26E-09</v>
      </c>
      <c r="X72" s="5">
        <v>2.65428307012</v>
      </c>
      <c r="Y72" s="5">
        <v>88860.0570709866</v>
      </c>
      <c r="Z72">
        <f t="shared" si="16"/>
        <v>-1.1078264189584622E-09</v>
      </c>
      <c r="AQ72" s="5">
        <v>5.3E-09</v>
      </c>
      <c r="AR72" s="5">
        <v>5.739792952</v>
      </c>
      <c r="AS72" s="5">
        <v>8827.3902698748</v>
      </c>
      <c r="AT72">
        <f t="shared" si="17"/>
        <v>-1.4978178405595976E-09</v>
      </c>
      <c r="AV72" s="5">
        <v>3.6E-10</v>
      </c>
      <c r="AW72" s="5">
        <v>0.40465162918</v>
      </c>
      <c r="AX72" s="5">
        <v>6283.0085396886</v>
      </c>
      <c r="AY72">
        <f t="shared" si="18"/>
        <v>-3.339272603883601E-10</v>
      </c>
      <c r="BP72" s="5">
        <v>6.477E-08</v>
      </c>
      <c r="BQ72" s="5">
        <v>2.64986648492</v>
      </c>
      <c r="BR72" s="5">
        <v>19804.8272915828</v>
      </c>
      <c r="BS72">
        <f t="shared" si="19"/>
        <v>-5.669627709494861E-08</v>
      </c>
      <c r="BU72" s="5">
        <v>5.18E-09</v>
      </c>
      <c r="BV72" s="5">
        <v>3.97914412373</v>
      </c>
      <c r="BW72" s="5">
        <v>17298.1823273262</v>
      </c>
      <c r="BX72">
        <f t="shared" si="20"/>
        <v>-4.983098883290386E-09</v>
      </c>
      <c r="BZ72" s="5">
        <v>4.2E-10</v>
      </c>
      <c r="CA72" s="5">
        <v>1.09413724455</v>
      </c>
      <c r="CB72" s="5">
        <v>709.9330485583</v>
      </c>
      <c r="CC72">
        <f t="shared" si="21"/>
        <v>-1.6589755881827549E-10</v>
      </c>
    </row>
    <row r="73" spans="13:81" ht="12.75">
      <c r="M73" s="5">
        <v>1.9925E-07</v>
      </c>
      <c r="N73" s="5">
        <v>5.22208471269</v>
      </c>
      <c r="O73" s="5">
        <v>12168.0026965746</v>
      </c>
      <c r="P73">
        <f t="shared" si="14"/>
        <v>-2.102675155687569E-08</v>
      </c>
      <c r="R73" s="5">
        <v>1.427E-08</v>
      </c>
      <c r="S73" s="5">
        <v>1.19088061711</v>
      </c>
      <c r="T73" s="5">
        <v>3894.1818295422</v>
      </c>
      <c r="U73">
        <f t="shared" si="15"/>
        <v>-1.4146989454885155E-08</v>
      </c>
      <c r="W73" s="5">
        <v>1.06E-09</v>
      </c>
      <c r="X73" s="5">
        <v>5.85646710022</v>
      </c>
      <c r="Y73" s="5">
        <v>7860.4193924392</v>
      </c>
      <c r="Z73">
        <f t="shared" si="16"/>
        <v>-5.420085062726084E-10</v>
      </c>
      <c r="AQ73" s="5">
        <v>5.03E-09</v>
      </c>
      <c r="AR73" s="5">
        <v>5.66433137112</v>
      </c>
      <c r="AS73" s="5">
        <v>33794.5437235286</v>
      </c>
      <c r="AT73">
        <f t="shared" si="17"/>
        <v>2.695783278337712E-09</v>
      </c>
      <c r="AV73" s="5">
        <v>3.2E-10</v>
      </c>
      <c r="AW73" s="5">
        <v>6.03707103538</v>
      </c>
      <c r="AX73" s="5">
        <v>2942.4634232916</v>
      </c>
      <c r="AY73">
        <f t="shared" si="18"/>
        <v>5.113571376321158E-11</v>
      </c>
      <c r="BP73" s="5">
        <v>5.233E-08</v>
      </c>
      <c r="BQ73" s="5">
        <v>4.62434053374</v>
      </c>
      <c r="BR73" s="5">
        <v>6438.4962494256</v>
      </c>
      <c r="BS73">
        <f t="shared" si="19"/>
        <v>-4.8849582463510434E-08</v>
      </c>
      <c r="BU73" s="5">
        <v>5.34E-09</v>
      </c>
      <c r="BV73" s="5">
        <v>5.03740926442</v>
      </c>
      <c r="BW73" s="5">
        <v>9917.6968745098</v>
      </c>
      <c r="BX73">
        <f t="shared" si="20"/>
        <v>4.571414685559223E-09</v>
      </c>
      <c r="BZ73" s="5">
        <v>3.9E-10</v>
      </c>
      <c r="CA73" s="5">
        <v>3.93298068961</v>
      </c>
      <c r="CB73" s="5">
        <v>10973.55568635</v>
      </c>
      <c r="CC73">
        <f t="shared" si="21"/>
        <v>3.8835659519807747E-10</v>
      </c>
    </row>
    <row r="74" spans="13:81" ht="12.75">
      <c r="M74" s="5">
        <v>1.986E-07</v>
      </c>
      <c r="N74" s="5">
        <v>5.77470167653</v>
      </c>
      <c r="O74" s="5">
        <v>6309.3741697912</v>
      </c>
      <c r="P74">
        <f t="shared" si="14"/>
        <v>-1.1658284743395247E-07</v>
      </c>
      <c r="R74" s="5">
        <v>1.375E-08</v>
      </c>
      <c r="S74" s="5">
        <v>3.09301252193</v>
      </c>
      <c r="T74" s="5">
        <v>135.0650800354</v>
      </c>
      <c r="U74">
        <f t="shared" si="15"/>
        <v>2.5579519983747597E-09</v>
      </c>
      <c r="W74" s="5">
        <v>8.4E-10</v>
      </c>
      <c r="X74" s="5">
        <v>3.57457554262</v>
      </c>
      <c r="Y74" s="5">
        <v>16730.4636895958</v>
      </c>
      <c r="Z74">
        <f t="shared" si="16"/>
        <v>3.4286024106614583E-10</v>
      </c>
      <c r="AQ74" s="5">
        <v>4.83E-09</v>
      </c>
      <c r="AR74" s="5">
        <v>1.57106522411</v>
      </c>
      <c r="AS74" s="5">
        <v>801.8209311238</v>
      </c>
      <c r="AT74">
        <f t="shared" si="17"/>
        <v>4.653817519215877E-09</v>
      </c>
      <c r="AV74" s="5">
        <v>4.1E-10</v>
      </c>
      <c r="AW74" s="5">
        <v>4.86809570283</v>
      </c>
      <c r="AX74" s="5">
        <v>1592.5960136328</v>
      </c>
      <c r="AY74">
        <f t="shared" si="18"/>
        <v>2.0883130363994244E-10</v>
      </c>
      <c r="BP74" s="5">
        <v>6.147E-08</v>
      </c>
      <c r="BQ74" s="5">
        <v>3.02863936662</v>
      </c>
      <c r="BR74" s="5">
        <v>233141.314404361</v>
      </c>
      <c r="BS74">
        <f t="shared" si="19"/>
        <v>7.86575593602777E-09</v>
      </c>
      <c r="BU74" s="5">
        <v>4.87E-09</v>
      </c>
      <c r="BV74" s="5">
        <v>2.50545369269</v>
      </c>
      <c r="BW74" s="5">
        <v>6127.6554505572</v>
      </c>
      <c r="BX74">
        <f t="shared" si="20"/>
        <v>-4.557860257083204E-09</v>
      </c>
      <c r="BZ74" s="5">
        <v>3.8E-10</v>
      </c>
      <c r="CA74" s="5">
        <v>6.17935925345</v>
      </c>
      <c r="CB74" s="5">
        <v>9917.6968745098</v>
      </c>
      <c r="CC74">
        <f t="shared" si="21"/>
        <v>3.138908931438277E-10</v>
      </c>
    </row>
    <row r="75" spans="13:81" ht="12.75">
      <c r="M75" s="5">
        <v>2.03E-07</v>
      </c>
      <c r="N75" s="5">
        <v>0.37133792946</v>
      </c>
      <c r="O75" s="5">
        <v>283.8593188652</v>
      </c>
      <c r="P75">
        <f t="shared" si="14"/>
        <v>-1.0513891291727543E-07</v>
      </c>
      <c r="R75" s="5">
        <v>1.359E-08</v>
      </c>
      <c r="S75" s="5">
        <v>4.24532506641</v>
      </c>
      <c r="T75" s="5">
        <v>426.598190876</v>
      </c>
      <c r="U75">
        <f t="shared" si="15"/>
        <v>-1.175081565598401E-08</v>
      </c>
      <c r="W75" s="5">
        <v>8.9E-10</v>
      </c>
      <c r="X75" s="5">
        <v>4.21433259618</v>
      </c>
      <c r="Y75" s="5">
        <v>83996.8473181118</v>
      </c>
      <c r="Z75">
        <f t="shared" si="16"/>
        <v>-8.79037950830965E-10</v>
      </c>
      <c r="AQ75" s="5">
        <v>4.38E-09</v>
      </c>
      <c r="AR75" s="5">
        <v>0.06707733767</v>
      </c>
      <c r="AS75" s="5">
        <v>3128.3887650958</v>
      </c>
      <c r="AT75">
        <f t="shared" si="17"/>
        <v>-2.1080711657846712E-09</v>
      </c>
      <c r="AV75" s="5">
        <v>2.8E-10</v>
      </c>
      <c r="AW75" s="5">
        <v>4.38359423735</v>
      </c>
      <c r="AX75" s="5">
        <v>7632.9432596502</v>
      </c>
      <c r="AY75">
        <f t="shared" si="18"/>
        <v>2.6399798592767963E-10</v>
      </c>
      <c r="BP75" s="5">
        <v>4.608E-08</v>
      </c>
      <c r="BQ75" s="5">
        <v>1.72194702724</v>
      </c>
      <c r="BR75" s="5">
        <v>7234.794256242</v>
      </c>
      <c r="BS75">
        <f t="shared" si="19"/>
        <v>-2.097715919107394E-08</v>
      </c>
      <c r="BU75" s="5">
        <v>4.16E-09</v>
      </c>
      <c r="BV75" s="5">
        <v>4.04828175503</v>
      </c>
      <c r="BW75" s="5">
        <v>10984.1923516998</v>
      </c>
      <c r="BX75">
        <f t="shared" si="20"/>
        <v>4.102999149971708E-09</v>
      </c>
      <c r="BZ75" s="5">
        <v>4.9E-10</v>
      </c>
      <c r="CA75" s="5">
        <v>0.83021145241</v>
      </c>
      <c r="CB75" s="5">
        <v>11506.7697697936</v>
      </c>
      <c r="CC75">
        <f t="shared" si="21"/>
        <v>-3.429445149016501E-10</v>
      </c>
    </row>
    <row r="76" spans="13:81" ht="12.75">
      <c r="M76" s="5">
        <v>1.4421E-07</v>
      </c>
      <c r="N76" s="5">
        <v>4.19315332546</v>
      </c>
      <c r="O76" s="5">
        <v>242.728603974</v>
      </c>
      <c r="P76">
        <f t="shared" si="14"/>
        <v>5.8055066514302643E-08</v>
      </c>
      <c r="R76" s="5">
        <v>1.34E-08</v>
      </c>
      <c r="S76" s="5">
        <v>5.76511818622</v>
      </c>
      <c r="T76" s="5">
        <v>6040.3472460174</v>
      </c>
      <c r="U76">
        <f t="shared" si="15"/>
        <v>2.1499865083438424E-09</v>
      </c>
      <c r="W76" s="5">
        <v>9.7E-10</v>
      </c>
      <c r="X76" s="5">
        <v>5.57938280855</v>
      </c>
      <c r="Y76" s="5">
        <v>13367.9726311066</v>
      </c>
      <c r="Z76">
        <f t="shared" si="16"/>
        <v>-5.422803115936757E-10</v>
      </c>
      <c r="AQ76" s="5">
        <v>4.23E-09</v>
      </c>
      <c r="AR76" s="5">
        <v>2.86944595927</v>
      </c>
      <c r="AS76" s="5">
        <v>12566.1516999828</v>
      </c>
      <c r="AT76">
        <f t="shared" si="17"/>
        <v>1.147434652418669E-09</v>
      </c>
      <c r="AV76" s="5">
        <v>2.8E-10</v>
      </c>
      <c r="AW76" s="5">
        <v>6.03334294232</v>
      </c>
      <c r="AX76" s="5">
        <v>17789.845619785</v>
      </c>
      <c r="AY76">
        <f t="shared" si="18"/>
        <v>1.3414663619789106E-10</v>
      </c>
      <c r="BP76" s="5">
        <v>4.221E-08</v>
      </c>
      <c r="BQ76" s="5">
        <v>1.55697533729</v>
      </c>
      <c r="BR76" s="5">
        <v>7238.6755916</v>
      </c>
      <c r="BS76">
        <f t="shared" si="19"/>
        <v>-2.333272293506047E-08</v>
      </c>
      <c r="BU76" s="5">
        <v>5.38E-09</v>
      </c>
      <c r="BV76" s="5">
        <v>5.54081539805</v>
      </c>
      <c r="BW76" s="5">
        <v>553.5694028424</v>
      </c>
      <c r="BX76">
        <f t="shared" si="20"/>
        <v>4.999299031633977E-09</v>
      </c>
      <c r="BZ76" s="5">
        <v>5.3E-10</v>
      </c>
      <c r="CA76" s="5">
        <v>1.45828359397</v>
      </c>
      <c r="CB76" s="5">
        <v>233141.314404361</v>
      </c>
      <c r="CC76">
        <f t="shared" si="21"/>
        <v>-5.256130546677693E-10</v>
      </c>
    </row>
    <row r="77" spans="13:81" ht="12.75">
      <c r="M77" s="5">
        <v>1.6225E-07</v>
      </c>
      <c r="N77" s="5">
        <v>5.98837722564</v>
      </c>
      <c r="O77" s="5">
        <v>11769.8536931664</v>
      </c>
      <c r="P77">
        <f t="shared" si="14"/>
        <v>1.620654486440691E-07</v>
      </c>
      <c r="R77" s="5">
        <v>1.284E-08</v>
      </c>
      <c r="S77" s="5">
        <v>3.08524663344</v>
      </c>
      <c r="T77" s="5">
        <v>5643.1785636774</v>
      </c>
      <c r="U77">
        <f t="shared" si="15"/>
        <v>-1.2836571271953144E-08</v>
      </c>
      <c r="W77" s="5">
        <v>1.02E-09</v>
      </c>
      <c r="X77" s="5">
        <v>2.05853060226</v>
      </c>
      <c r="Y77" s="5">
        <v>87.30820453981</v>
      </c>
      <c r="Z77">
        <f t="shared" si="16"/>
        <v>-1.0163444565284721E-09</v>
      </c>
      <c r="AQ77" s="5">
        <v>5.04E-09</v>
      </c>
      <c r="AR77" s="5">
        <v>3.2620766916</v>
      </c>
      <c r="AS77" s="5">
        <v>7632.9432596502</v>
      </c>
      <c r="AT77">
        <f t="shared" si="17"/>
        <v>5.511015177364119E-10</v>
      </c>
      <c r="AV77" s="5">
        <v>2.6E-10</v>
      </c>
      <c r="AW77" s="5">
        <v>3.88971333608</v>
      </c>
      <c r="AX77" s="5">
        <v>5331.3574437408</v>
      </c>
      <c r="AY77">
        <f t="shared" si="18"/>
        <v>2.547423063692558E-10</v>
      </c>
      <c r="BP77" s="5">
        <v>5.314E-08</v>
      </c>
      <c r="BQ77" s="5">
        <v>2.40716580847</v>
      </c>
      <c r="BR77" s="5">
        <v>11499.6562227928</v>
      </c>
      <c r="BS77">
        <f t="shared" si="19"/>
        <v>3.450007721096061E-08</v>
      </c>
      <c r="BU77" s="5">
        <v>4.02E-09</v>
      </c>
      <c r="BV77" s="5">
        <v>2.16544019233</v>
      </c>
      <c r="BW77" s="5">
        <v>7860.4193924392</v>
      </c>
      <c r="BX77">
        <f t="shared" si="20"/>
        <v>3.5570831297520716E-09</v>
      </c>
      <c r="BZ77" s="5">
        <v>4.7E-10</v>
      </c>
      <c r="CA77" s="5">
        <v>6.21568666789</v>
      </c>
      <c r="CB77" s="5">
        <v>6681.2248533996</v>
      </c>
      <c r="CC77">
        <f t="shared" si="21"/>
        <v>1.1231785966703486E-10</v>
      </c>
    </row>
    <row r="78" spans="13:81" ht="12.75">
      <c r="M78" s="5">
        <v>1.5077E-07</v>
      </c>
      <c r="N78" s="5">
        <v>4.19567181073</v>
      </c>
      <c r="O78" s="5">
        <v>6256.7775301916</v>
      </c>
      <c r="P78">
        <f t="shared" si="14"/>
        <v>1.5023411196570652E-07</v>
      </c>
      <c r="R78" s="5">
        <v>1.25E-08</v>
      </c>
      <c r="S78" s="5">
        <v>3.07748157144</v>
      </c>
      <c r="T78" s="5">
        <v>11926.2544136688</v>
      </c>
      <c r="U78">
        <f t="shared" si="15"/>
        <v>8.96229394189148E-09</v>
      </c>
      <c r="W78" s="5">
        <v>8E-10</v>
      </c>
      <c r="X78" s="5">
        <v>4.73792651816</v>
      </c>
      <c r="Y78" s="5">
        <v>11926.2544136688</v>
      </c>
      <c r="Z78">
        <f t="shared" si="16"/>
        <v>5.040802117936304E-10</v>
      </c>
      <c r="AQ78" s="5">
        <v>5.52E-09</v>
      </c>
      <c r="AR78" s="5">
        <v>1.02926440457</v>
      </c>
      <c r="AS78" s="5">
        <v>239762.204517549</v>
      </c>
      <c r="AT78">
        <f t="shared" si="17"/>
        <v>-5.289915124889575E-09</v>
      </c>
      <c r="AV78" s="5">
        <v>2.6E-10</v>
      </c>
      <c r="AW78" s="5">
        <v>5.94932724051</v>
      </c>
      <c r="AX78" s="5">
        <v>16496.3613962024</v>
      </c>
      <c r="AY78">
        <f t="shared" si="18"/>
        <v>2.4008126350340586E-10</v>
      </c>
      <c r="BP78" s="5">
        <v>5.128E-08</v>
      </c>
      <c r="BQ78" s="5">
        <v>5.3239896569</v>
      </c>
      <c r="BR78" s="5">
        <v>11513.8833167944</v>
      </c>
      <c r="BS78">
        <f t="shared" si="19"/>
        <v>-3.1928118274531926E-08</v>
      </c>
      <c r="BU78" s="5">
        <v>5.53E-09</v>
      </c>
      <c r="BV78" s="5">
        <v>2.32177369366</v>
      </c>
      <c r="BW78" s="5">
        <v>11506.7697697936</v>
      </c>
      <c r="BX78">
        <f t="shared" si="20"/>
        <v>3.6310867669745406E-09</v>
      </c>
      <c r="BZ78" s="5">
        <v>3.7E-10</v>
      </c>
      <c r="CA78" s="5">
        <v>0.3635930998</v>
      </c>
      <c r="CB78" s="5">
        <v>10177.2576795336</v>
      </c>
      <c r="CC78">
        <f t="shared" si="21"/>
        <v>-6.426147785121981E-11</v>
      </c>
    </row>
    <row r="79" spans="13:81" ht="12.75">
      <c r="M79" s="5">
        <v>1.9124E-07</v>
      </c>
      <c r="N79" s="5">
        <v>3.82219996949</v>
      </c>
      <c r="O79" s="5">
        <v>23581.2581773176</v>
      </c>
      <c r="P79">
        <f t="shared" si="14"/>
        <v>6.567836203961442E-08</v>
      </c>
      <c r="R79" s="5">
        <v>1.551E-08</v>
      </c>
      <c r="S79" s="5">
        <v>3.07665451458</v>
      </c>
      <c r="T79" s="5">
        <v>6681.2248533996</v>
      </c>
      <c r="U79">
        <f t="shared" si="15"/>
        <v>-3.667914559511153E-09</v>
      </c>
      <c r="W79" s="5">
        <v>8E-10</v>
      </c>
      <c r="X79" s="5">
        <v>5.41418965044</v>
      </c>
      <c r="Y79" s="5">
        <v>10973.55568635</v>
      </c>
      <c r="Z79">
        <f t="shared" si="16"/>
        <v>1.4434291601605394E-10</v>
      </c>
      <c r="AQ79" s="5">
        <v>4.27E-09</v>
      </c>
      <c r="AR79" s="5">
        <v>3.6743437821</v>
      </c>
      <c r="AS79" s="5">
        <v>213.299095438</v>
      </c>
      <c r="AT79">
        <f t="shared" si="17"/>
        <v>4.14347856552997E-09</v>
      </c>
      <c r="AV79" s="5">
        <v>3.1E-10</v>
      </c>
      <c r="AW79" s="5">
        <v>1.44666331503</v>
      </c>
      <c r="AX79" s="5">
        <v>16730.4636895958</v>
      </c>
      <c r="AY79">
        <f t="shared" si="18"/>
        <v>1.7330437059942932E-10</v>
      </c>
      <c r="BP79" s="5">
        <v>4.77E-08</v>
      </c>
      <c r="BQ79" s="5">
        <v>0.25554312006</v>
      </c>
      <c r="BR79" s="5">
        <v>11856.2186514245</v>
      </c>
      <c r="BS79">
        <f t="shared" si="19"/>
        <v>-8.65180936239085E-09</v>
      </c>
      <c r="BU79" s="5">
        <v>3.67E-09</v>
      </c>
      <c r="BV79" s="5">
        <v>3.3915253225</v>
      </c>
      <c r="BW79" s="5">
        <v>6496.3749454294</v>
      </c>
      <c r="BX79">
        <f t="shared" si="20"/>
        <v>-2.4890782351543845E-09</v>
      </c>
      <c r="BZ79" s="5">
        <v>3.5E-10</v>
      </c>
      <c r="CA79" s="5">
        <v>3.33024911524</v>
      </c>
      <c r="CB79" s="5">
        <v>5643.1785636774</v>
      </c>
      <c r="CC79">
        <f t="shared" si="21"/>
        <v>-3.374953808397128E-10</v>
      </c>
    </row>
    <row r="80" spans="13:81" ht="12.75">
      <c r="M80" s="5">
        <v>1.8888E-07</v>
      </c>
      <c r="N80" s="5">
        <v>5.38626880969</v>
      </c>
      <c r="O80" s="5">
        <v>149854.400134807</v>
      </c>
      <c r="P80">
        <f t="shared" si="14"/>
        <v>1.1352419797223796E-07</v>
      </c>
      <c r="R80" s="5">
        <v>1.268E-08</v>
      </c>
      <c r="S80" s="5">
        <v>2.09196018331</v>
      </c>
      <c r="T80" s="5">
        <v>6290.1893969922</v>
      </c>
      <c r="U80">
        <f t="shared" si="15"/>
        <v>-2.149838397024965E-09</v>
      </c>
      <c r="W80" s="5">
        <v>1.06E-09</v>
      </c>
      <c r="X80" s="5">
        <v>4.10978997399</v>
      </c>
      <c r="Y80" s="5">
        <v>3496.032826134</v>
      </c>
      <c r="Z80">
        <f t="shared" si="16"/>
        <v>8.725449969214426E-10</v>
      </c>
      <c r="AQ80" s="5">
        <v>4.04E-09</v>
      </c>
      <c r="AR80" s="5">
        <v>1.46193297142</v>
      </c>
      <c r="AS80" s="5">
        <v>15720.8387848784</v>
      </c>
      <c r="AT80">
        <f t="shared" si="17"/>
        <v>-1.3048810295778833E-09</v>
      </c>
      <c r="AV80" s="5">
        <v>2.6E-10</v>
      </c>
      <c r="AW80" s="5">
        <v>6.26376705837</v>
      </c>
      <c r="AX80" s="5">
        <v>23543.2305046817</v>
      </c>
      <c r="AY80">
        <f t="shared" si="18"/>
        <v>1.9671227697121068E-10</v>
      </c>
      <c r="BP80" s="5">
        <v>5.519E-08</v>
      </c>
      <c r="BQ80" s="5">
        <v>2.09089154502</v>
      </c>
      <c r="BR80" s="5">
        <v>17298.1823273262</v>
      </c>
      <c r="BS80">
        <f t="shared" si="19"/>
        <v>3.089154583670541E-08</v>
      </c>
      <c r="BU80" s="5">
        <v>3.6E-09</v>
      </c>
      <c r="BV80" s="5">
        <v>5.34379853282</v>
      </c>
      <c r="BW80" s="5">
        <v>7079.3738568078</v>
      </c>
      <c r="BX80">
        <f t="shared" si="20"/>
        <v>3.158724567198251E-09</v>
      </c>
      <c r="BZ80" s="5">
        <v>3.4E-10</v>
      </c>
      <c r="CA80" s="5">
        <v>5.63446915337</v>
      </c>
      <c r="CB80" s="5">
        <v>6525.8044539654</v>
      </c>
      <c r="CC80">
        <f t="shared" si="21"/>
        <v>8.092239978700758E-11</v>
      </c>
    </row>
    <row r="81" spans="13:81" ht="12.75">
      <c r="M81" s="5">
        <v>1.4346E-07</v>
      </c>
      <c r="N81" s="5">
        <v>3.72355084422</v>
      </c>
      <c r="O81" s="5">
        <v>38.0276726358</v>
      </c>
      <c r="P81">
        <f t="shared" si="14"/>
        <v>-6.62744378591699E-08</v>
      </c>
      <c r="R81" s="5">
        <v>1.144E-08</v>
      </c>
      <c r="S81" s="5">
        <v>3.24444699514</v>
      </c>
      <c r="T81" s="5">
        <v>12168.0026965746</v>
      </c>
      <c r="U81">
        <f t="shared" si="15"/>
        <v>-9.969824069957233E-09</v>
      </c>
      <c r="W81" s="5">
        <v>1.02E-09</v>
      </c>
      <c r="X81" s="5">
        <v>3.62650006043</v>
      </c>
      <c r="Y81" s="5">
        <v>244287.600007227</v>
      </c>
      <c r="Z81">
        <f t="shared" si="16"/>
        <v>-8.518355970012254E-10</v>
      </c>
      <c r="AQ81" s="5">
        <v>5.03E-09</v>
      </c>
      <c r="AR81" s="5">
        <v>4.85802444134</v>
      </c>
      <c r="AS81" s="5">
        <v>6290.1893969922</v>
      </c>
      <c r="AT81">
        <f t="shared" si="17"/>
        <v>2.6115001437937085E-09</v>
      </c>
      <c r="AV81" s="5">
        <v>3.3E-10</v>
      </c>
      <c r="AW81" s="5">
        <v>0.93797239147</v>
      </c>
      <c r="AX81" s="5">
        <v>213.299095438</v>
      </c>
      <c r="AY81">
        <f t="shared" si="18"/>
        <v>-2.628550793782099E-10</v>
      </c>
      <c r="BP81" s="5">
        <v>5.625E-08</v>
      </c>
      <c r="BQ81" s="5">
        <v>4.34052903053</v>
      </c>
      <c r="BR81" s="5">
        <v>90955.5516944961</v>
      </c>
      <c r="BS81">
        <f t="shared" si="19"/>
        <v>-2.0077177936375185E-08</v>
      </c>
      <c r="BU81" s="5">
        <v>3.37E-09</v>
      </c>
      <c r="BV81" s="5">
        <v>3.61563704045</v>
      </c>
      <c r="BW81" s="5">
        <v>11790.6290886588</v>
      </c>
      <c r="BX81">
        <f t="shared" si="20"/>
        <v>-1.5453405350891258E-09</v>
      </c>
      <c r="BZ81" s="5">
        <v>3.5E-10</v>
      </c>
      <c r="CA81" s="5">
        <v>5.36033855038</v>
      </c>
      <c r="CB81" s="5">
        <v>25158.6017197654</v>
      </c>
      <c r="CC81">
        <f t="shared" si="21"/>
        <v>-2.9348511913095677E-10</v>
      </c>
    </row>
    <row r="82" spans="13:81" ht="12.75">
      <c r="M82" s="5">
        <v>1.7898E-07</v>
      </c>
      <c r="N82" s="5">
        <v>2.21490735647</v>
      </c>
      <c r="O82" s="5">
        <v>13367.9726311066</v>
      </c>
      <c r="P82">
        <f t="shared" si="14"/>
        <v>6.478183760355214E-08</v>
      </c>
      <c r="R82" s="5">
        <v>1.248E-08</v>
      </c>
      <c r="S82" s="5">
        <v>3.44504937285</v>
      </c>
      <c r="T82" s="5">
        <v>536.8045120954</v>
      </c>
      <c r="U82">
        <f t="shared" si="15"/>
        <v>-4.521670677579913E-09</v>
      </c>
      <c r="W82" s="5">
        <v>7.5E-10</v>
      </c>
      <c r="X82" s="5">
        <v>4.89483161769</v>
      </c>
      <c r="Y82" s="5">
        <v>5643.1785636774</v>
      </c>
      <c r="Z82">
        <f t="shared" si="16"/>
        <v>1.941865345637942E-10</v>
      </c>
      <c r="AQ82" s="5">
        <v>4.17E-09</v>
      </c>
      <c r="AR82" s="5">
        <v>0.81920713533</v>
      </c>
      <c r="AS82" s="5">
        <v>5216.5803728014</v>
      </c>
      <c r="AT82">
        <f t="shared" si="17"/>
        <v>3.9435392632943465E-10</v>
      </c>
      <c r="AV82" s="5">
        <v>2.6E-10</v>
      </c>
      <c r="AW82" s="5">
        <v>3.71858432944</v>
      </c>
      <c r="AX82" s="5">
        <v>13095.8426650774</v>
      </c>
      <c r="AY82">
        <f t="shared" si="18"/>
        <v>-2.5507672543740654E-10</v>
      </c>
      <c r="BP82" s="5">
        <v>4.578E-08</v>
      </c>
      <c r="BQ82" s="5">
        <v>4.4656964157</v>
      </c>
      <c r="BR82" s="5">
        <v>5746.271337896</v>
      </c>
      <c r="BS82">
        <f t="shared" si="19"/>
        <v>4.285883187640882E-08</v>
      </c>
      <c r="BU82" s="5">
        <v>4.56E-09</v>
      </c>
      <c r="BV82" s="5">
        <v>0.30754294809</v>
      </c>
      <c r="BW82" s="5">
        <v>801.8209311238</v>
      </c>
      <c r="BX82">
        <f t="shared" si="20"/>
        <v>1.6570731392376587E-10</v>
      </c>
      <c r="BZ82" s="5">
        <v>3.4E-10</v>
      </c>
      <c r="CA82" s="5">
        <v>5.36319798321</v>
      </c>
      <c r="CB82" s="5">
        <v>4933.2084403326</v>
      </c>
      <c r="CC82">
        <f t="shared" si="21"/>
        <v>-2.0823727384345295E-10</v>
      </c>
    </row>
    <row r="83" spans="13:81" ht="12.75">
      <c r="M83" s="5">
        <v>1.2054E-07</v>
      </c>
      <c r="N83" s="5">
        <v>2.62229588349</v>
      </c>
      <c r="O83" s="5">
        <v>955.5997416086</v>
      </c>
      <c r="P83">
        <f t="shared" si="14"/>
        <v>-1.1499506406970884E-07</v>
      </c>
      <c r="R83" s="5">
        <v>1.118E-08</v>
      </c>
      <c r="S83" s="5">
        <v>2.31829670425</v>
      </c>
      <c r="T83" s="5">
        <v>16730.4636895958</v>
      </c>
      <c r="U83">
        <f t="shared" si="15"/>
        <v>1.1117334982757733E-08</v>
      </c>
      <c r="W83" s="5">
        <v>8.7E-10</v>
      </c>
      <c r="X83" s="5">
        <v>0.42863750683</v>
      </c>
      <c r="Y83" s="5">
        <v>11015.1064773348</v>
      </c>
      <c r="Z83">
        <f t="shared" si="16"/>
        <v>-8.655524947718894E-10</v>
      </c>
      <c r="AQ83" s="5">
        <v>3.65E-09</v>
      </c>
      <c r="AR83" s="5">
        <v>0.01002966162</v>
      </c>
      <c r="AS83" s="5">
        <v>12168.0026965746</v>
      </c>
      <c r="AT83">
        <f t="shared" si="17"/>
        <v>3.0013177616927532E-09</v>
      </c>
      <c r="AV83" s="5">
        <v>2.7E-10</v>
      </c>
      <c r="AW83" s="5">
        <v>0.60565274405</v>
      </c>
      <c r="AX83" s="5">
        <v>10988.808157535</v>
      </c>
      <c r="AY83">
        <f t="shared" si="18"/>
        <v>-2.6926967755180245E-10</v>
      </c>
      <c r="BP83" s="5">
        <v>3.788E-08</v>
      </c>
      <c r="BQ83" s="5">
        <v>4.9072938351</v>
      </c>
      <c r="BR83" s="5">
        <v>4164.311989613</v>
      </c>
      <c r="BS83">
        <f t="shared" si="19"/>
        <v>-2.3103987680357998E-08</v>
      </c>
      <c r="BU83" s="5">
        <v>4.17E-09</v>
      </c>
      <c r="BV83" s="5">
        <v>3.70009308674</v>
      </c>
      <c r="BW83" s="5">
        <v>10575.4066829418</v>
      </c>
      <c r="BX83">
        <f t="shared" si="20"/>
        <v>3.361575827290908E-09</v>
      </c>
      <c r="BZ83" s="5">
        <v>3.3E-10</v>
      </c>
      <c r="CA83" s="5">
        <v>4.24722336872</v>
      </c>
      <c r="CB83" s="5">
        <v>12569.6748183318</v>
      </c>
      <c r="CC83">
        <f t="shared" si="21"/>
        <v>-3.012385365788949E-10</v>
      </c>
    </row>
    <row r="84" spans="13:81" ht="12.75">
      <c r="M84" s="5">
        <v>1.1287E-07</v>
      </c>
      <c r="N84" s="5">
        <v>0.17739328092</v>
      </c>
      <c r="O84" s="5">
        <v>4164.311989613</v>
      </c>
      <c r="P84">
        <f t="shared" si="14"/>
        <v>8.822560800749083E-08</v>
      </c>
      <c r="R84" s="5">
        <v>1.105E-08</v>
      </c>
      <c r="S84" s="5">
        <v>5.31966001019</v>
      </c>
      <c r="T84" s="5">
        <v>23.8784377478</v>
      </c>
      <c r="U84">
        <f t="shared" si="15"/>
        <v>8.835692765722046E-09</v>
      </c>
      <c r="W84" s="5">
        <v>6.9E-10</v>
      </c>
      <c r="X84" s="5">
        <v>1.8890876072</v>
      </c>
      <c r="Y84" s="5">
        <v>10177.2576795336</v>
      </c>
      <c r="Z84">
        <f t="shared" si="16"/>
        <v>6.7338930274494E-10</v>
      </c>
      <c r="AQ84" s="5">
        <v>3.63E-09</v>
      </c>
      <c r="AR84" s="5">
        <v>1.28376436579</v>
      </c>
      <c r="AS84" s="5">
        <v>6206.8097787158</v>
      </c>
      <c r="AT84">
        <f t="shared" si="17"/>
        <v>-3.1448074888133327E-09</v>
      </c>
      <c r="AV84" s="5">
        <v>2.3E-10</v>
      </c>
      <c r="AW84" s="5">
        <v>4.4438898555</v>
      </c>
      <c r="AX84" s="5">
        <v>18849.2275499742</v>
      </c>
      <c r="AY84">
        <f t="shared" si="18"/>
        <v>1.1289537600131109E-10</v>
      </c>
      <c r="BP84" s="5">
        <v>5.337E-08</v>
      </c>
      <c r="BQ84" s="5">
        <v>5.09957905104</v>
      </c>
      <c r="BR84" s="5">
        <v>31441.6775697568</v>
      </c>
      <c r="BS84">
        <f t="shared" si="19"/>
        <v>-2.819729409278088E-09</v>
      </c>
      <c r="BU84" s="5">
        <v>3.81E-09</v>
      </c>
      <c r="BV84" s="5">
        <v>5.82033971802</v>
      </c>
      <c r="BW84" s="5">
        <v>7058.5984613154</v>
      </c>
      <c r="BX84">
        <f t="shared" si="20"/>
        <v>3.6379556551665932E-09</v>
      </c>
      <c r="BZ84" s="5">
        <v>4.3E-10</v>
      </c>
      <c r="CA84" s="5">
        <v>5.26370903404</v>
      </c>
      <c r="CB84" s="5">
        <v>10575.4066829418</v>
      </c>
      <c r="CC84">
        <f t="shared" si="21"/>
        <v>-2.51950090578893E-10</v>
      </c>
    </row>
    <row r="85" spans="13:81" ht="12.75">
      <c r="M85" s="5">
        <v>1.3971E-07</v>
      </c>
      <c r="N85" s="5">
        <v>4.40138139996</v>
      </c>
      <c r="O85" s="5">
        <v>6681.2248533996</v>
      </c>
      <c r="P85">
        <f t="shared" si="14"/>
        <v>1.2360977549312417E-07</v>
      </c>
      <c r="R85" s="5">
        <v>1.051E-08</v>
      </c>
      <c r="S85" s="5">
        <v>3.75015946014</v>
      </c>
      <c r="T85" s="5">
        <v>7860.4193924392</v>
      </c>
      <c r="U85">
        <f t="shared" si="15"/>
        <v>-5.025426909535047E-09</v>
      </c>
      <c r="W85" s="5">
        <v>8.9E-10</v>
      </c>
      <c r="X85" s="5">
        <v>1.35567273119</v>
      </c>
      <c r="Y85" s="5">
        <v>6681.2248533996</v>
      </c>
      <c r="Z85">
        <f t="shared" si="16"/>
        <v>-8.23529217858245E-10</v>
      </c>
      <c r="AQ85" s="5">
        <v>3.53E-09</v>
      </c>
      <c r="AR85" s="5">
        <v>4.7005913311</v>
      </c>
      <c r="AS85" s="5">
        <v>7234.794256242</v>
      </c>
      <c r="AT85">
        <f t="shared" si="17"/>
        <v>2.0955724864259037E-09</v>
      </c>
      <c r="AV85" s="5">
        <v>2.8E-10</v>
      </c>
      <c r="AW85" s="5">
        <v>1.53862289477</v>
      </c>
      <c r="AX85" s="5">
        <v>6279.4854213396</v>
      </c>
      <c r="AY85">
        <f t="shared" si="18"/>
        <v>-2.1344626787622973E-10</v>
      </c>
      <c r="BP85" s="5">
        <v>3.967E-08</v>
      </c>
      <c r="BQ85" s="5">
        <v>1.20054555174</v>
      </c>
      <c r="BR85" s="5">
        <v>1349.8674096588</v>
      </c>
      <c r="BS85">
        <f t="shared" si="19"/>
        <v>3.645287588767517E-08</v>
      </c>
      <c r="BU85" s="5">
        <v>3.21E-09</v>
      </c>
      <c r="BV85" s="5">
        <v>0.31988767355</v>
      </c>
      <c r="BW85" s="5">
        <v>16200.7727245012</v>
      </c>
      <c r="BX85">
        <f t="shared" si="20"/>
        <v>-3.12116545217407E-09</v>
      </c>
      <c r="BZ85" s="5">
        <v>4.2E-10</v>
      </c>
      <c r="CA85" s="5">
        <v>5.08837645072</v>
      </c>
      <c r="CB85" s="5">
        <v>11015.1064773348</v>
      </c>
      <c r="CC85">
        <f t="shared" si="21"/>
        <v>-2.0365214756156904E-11</v>
      </c>
    </row>
    <row r="86" spans="13:81" ht="12.75">
      <c r="M86" s="5">
        <v>1.3621E-07</v>
      </c>
      <c r="N86" s="5">
        <v>1.88934471407</v>
      </c>
      <c r="O86" s="5">
        <v>7632.9432596502</v>
      </c>
      <c r="P86">
        <f t="shared" si="14"/>
        <v>-1.2981551210503307E-07</v>
      </c>
      <c r="R86" s="5">
        <v>1.025E-08</v>
      </c>
      <c r="S86" s="5">
        <v>2.44688534235</v>
      </c>
      <c r="T86" s="5">
        <v>1990.745017041</v>
      </c>
      <c r="U86">
        <f t="shared" si="15"/>
        <v>-7.149878983120738E-09</v>
      </c>
      <c r="W86" s="5">
        <v>6.6E-10</v>
      </c>
      <c r="X86" s="5">
        <v>0.99455837265</v>
      </c>
      <c r="Y86" s="5">
        <v>6525.8044539654</v>
      </c>
      <c r="Z86">
        <f t="shared" si="16"/>
        <v>6.279756452296714E-10</v>
      </c>
      <c r="AQ86" s="5">
        <v>4.15E-09</v>
      </c>
      <c r="AR86" s="5">
        <v>0.96862624175</v>
      </c>
      <c r="AS86" s="5">
        <v>4136.9104335162</v>
      </c>
      <c r="AT86">
        <f t="shared" si="17"/>
        <v>4.022274850021133E-09</v>
      </c>
      <c r="AV86" s="5">
        <v>2.8E-10</v>
      </c>
      <c r="AW86" s="5">
        <v>1.96831814872</v>
      </c>
      <c r="AX86" s="5">
        <v>6286.6662786432</v>
      </c>
      <c r="AY86">
        <f t="shared" si="18"/>
        <v>-9.367525683007663E-11</v>
      </c>
      <c r="BP86" s="5">
        <v>4.008E-08</v>
      </c>
      <c r="BQ86" s="5">
        <v>3.03007204392</v>
      </c>
      <c r="BR86" s="5">
        <v>1059.3819301892</v>
      </c>
      <c r="BS86">
        <f t="shared" si="19"/>
        <v>-3.179924460931442E-09</v>
      </c>
      <c r="BU86" s="5">
        <v>3.64E-09</v>
      </c>
      <c r="BV86" s="5">
        <v>1.08414306177</v>
      </c>
      <c r="BW86" s="5">
        <v>6309.3741697912</v>
      </c>
      <c r="BX86">
        <f t="shared" si="20"/>
        <v>-2.899489857919433E-09</v>
      </c>
      <c r="BZ86" s="5">
        <v>4E-10</v>
      </c>
      <c r="CA86" s="5">
        <v>1.98334703186</v>
      </c>
      <c r="CB86" s="5">
        <v>6284.0561710596</v>
      </c>
      <c r="CC86">
        <f t="shared" si="21"/>
        <v>-1.4128915332110338E-10</v>
      </c>
    </row>
    <row r="87" spans="13:81" ht="12.75">
      <c r="M87" s="5">
        <v>1.2503E-07</v>
      </c>
      <c r="N87" s="5">
        <v>1.13052412208</v>
      </c>
      <c r="O87" s="5">
        <v>5.5229243074</v>
      </c>
      <c r="P87">
        <f t="shared" si="14"/>
        <v>4.4793179268377675E-08</v>
      </c>
      <c r="R87" s="5">
        <v>9.62E-09</v>
      </c>
      <c r="S87" s="5">
        <v>0.81771017882</v>
      </c>
      <c r="T87" s="5">
        <v>3.881335358</v>
      </c>
      <c r="U87">
        <f t="shared" si="15"/>
        <v>6.206001833809082E-09</v>
      </c>
      <c r="W87" s="5">
        <v>6.7E-10</v>
      </c>
      <c r="X87" s="5">
        <v>5.5124099707</v>
      </c>
      <c r="Y87" s="5">
        <v>3097.88382272579</v>
      </c>
      <c r="Z87">
        <f t="shared" si="16"/>
        <v>-6.595094830883678E-10</v>
      </c>
      <c r="AQ87" s="5">
        <v>3.87E-09</v>
      </c>
      <c r="AR87" s="5">
        <v>3.09145061418</v>
      </c>
      <c r="AS87" s="5">
        <v>25158.6017197654</v>
      </c>
      <c r="AT87">
        <f t="shared" si="17"/>
        <v>3.701148182871413E-09</v>
      </c>
      <c r="AV87" s="5">
        <v>2.8E-10</v>
      </c>
      <c r="AW87" s="5">
        <v>5.78094918529</v>
      </c>
      <c r="AX87" s="5">
        <v>15110.4661198662</v>
      </c>
      <c r="AY87">
        <f t="shared" si="18"/>
        <v>2.4033599963036327E-10</v>
      </c>
      <c r="BP87" s="5">
        <v>3.476E-08</v>
      </c>
      <c r="BQ87" s="5">
        <v>0.7608027703</v>
      </c>
      <c r="BR87" s="5">
        <v>10973.55568635</v>
      </c>
      <c r="BS87">
        <f t="shared" si="19"/>
        <v>-3.4499856489199536E-08</v>
      </c>
      <c r="BU87" s="5">
        <v>2.94E-09</v>
      </c>
      <c r="BV87" s="5">
        <v>4.54798604957</v>
      </c>
      <c r="BW87" s="5">
        <v>11856.2186514245</v>
      </c>
      <c r="BX87">
        <f t="shared" si="20"/>
        <v>2.857432499896053E-09</v>
      </c>
      <c r="BZ87" s="5">
        <v>4.2E-10</v>
      </c>
      <c r="CA87" s="5">
        <v>4.22496037505</v>
      </c>
      <c r="CB87" s="5">
        <v>88860.0570709866</v>
      </c>
      <c r="CC87">
        <f t="shared" si="21"/>
        <v>2.0004508953292259E-10</v>
      </c>
    </row>
    <row r="88" spans="13:81" ht="12.75">
      <c r="M88" s="5">
        <v>1.0498E-07</v>
      </c>
      <c r="N88" s="5">
        <v>5.35909518669</v>
      </c>
      <c r="O88" s="5">
        <v>1592.5960136328</v>
      </c>
      <c r="P88">
        <f t="shared" si="14"/>
        <v>4.557175973298475E-09</v>
      </c>
      <c r="R88" s="5">
        <v>9.1E-09</v>
      </c>
      <c r="S88" s="5">
        <v>0.41727865299</v>
      </c>
      <c r="T88" s="5">
        <v>7079.3738568078</v>
      </c>
      <c r="U88">
        <f t="shared" si="15"/>
        <v>5.9624249250839755E-09</v>
      </c>
      <c r="W88" s="5">
        <v>7.6E-10</v>
      </c>
      <c r="X88" s="5">
        <v>2.72016814799</v>
      </c>
      <c r="Y88" s="5">
        <v>4164.311989613</v>
      </c>
      <c r="Z88">
        <f t="shared" si="16"/>
        <v>-2.2350606891133646E-10</v>
      </c>
      <c r="AQ88" s="5">
        <v>3.73E-09</v>
      </c>
      <c r="AR88" s="5">
        <v>2.65119262792</v>
      </c>
      <c r="AS88" s="5">
        <v>7342.4577801806</v>
      </c>
      <c r="AT88">
        <f t="shared" si="17"/>
        <v>3.5337621820988626E-09</v>
      </c>
      <c r="AV88" s="5">
        <v>2.6E-10</v>
      </c>
      <c r="AW88" s="5">
        <v>2.48165809843</v>
      </c>
      <c r="AX88" s="5">
        <v>5729.506447149</v>
      </c>
      <c r="AY88">
        <f t="shared" si="18"/>
        <v>-2.1830870594064217E-10</v>
      </c>
      <c r="BP88" s="5">
        <v>4.232E-08</v>
      </c>
      <c r="BQ88" s="5">
        <v>1.05485713117</v>
      </c>
      <c r="BR88" s="5">
        <v>5760.4984318976</v>
      </c>
      <c r="BS88">
        <f t="shared" si="19"/>
        <v>-3.8322869276057646E-08</v>
      </c>
      <c r="BU88" s="5">
        <v>2.9E-09</v>
      </c>
      <c r="BV88" s="5">
        <v>1.26473978562</v>
      </c>
      <c r="BW88" s="5">
        <v>8635.9420037632</v>
      </c>
      <c r="BX88">
        <f t="shared" si="20"/>
        <v>-2.4995103808163324E-09</v>
      </c>
      <c r="BZ88" s="5">
        <v>2.9E-10</v>
      </c>
      <c r="CA88" s="5">
        <v>3.1908862817</v>
      </c>
      <c r="CB88" s="5">
        <v>11926.2544136688</v>
      </c>
      <c r="CC88">
        <f t="shared" si="21"/>
        <v>2.294659775324854E-10</v>
      </c>
    </row>
    <row r="89" spans="13:81" ht="12.75">
      <c r="M89" s="5">
        <v>9.803E-08</v>
      </c>
      <c r="N89" s="5">
        <v>0.99947478995</v>
      </c>
      <c r="O89" s="5">
        <v>11371.7046897582</v>
      </c>
      <c r="P89">
        <f t="shared" si="14"/>
        <v>-6.530874627317879E-08</v>
      </c>
      <c r="R89" s="5">
        <v>8.83E-09</v>
      </c>
      <c r="S89" s="5">
        <v>5.16833917651</v>
      </c>
      <c r="T89" s="5">
        <v>11790.6290886588</v>
      </c>
      <c r="U89">
        <f t="shared" si="15"/>
        <v>7.772362168304262E-09</v>
      </c>
      <c r="W89" s="5">
        <v>6.3E-10</v>
      </c>
      <c r="X89" s="5">
        <v>1.4434990254</v>
      </c>
      <c r="Y89" s="5">
        <v>9917.6968745098</v>
      </c>
      <c r="Z89">
        <f t="shared" si="16"/>
        <v>-3.4277463316069103E-10</v>
      </c>
      <c r="AQ89" s="5">
        <v>3.61E-09</v>
      </c>
      <c r="AR89" s="5">
        <v>2.97762937739</v>
      </c>
      <c r="AS89" s="5">
        <v>9623.6882766912</v>
      </c>
      <c r="AT89">
        <f t="shared" si="17"/>
        <v>3.495848435089072E-09</v>
      </c>
      <c r="AV89" s="5">
        <v>2E-10</v>
      </c>
      <c r="AW89" s="5">
        <v>3.85655029499</v>
      </c>
      <c r="AX89" s="5">
        <v>9623.6882766912</v>
      </c>
      <c r="AY89">
        <f t="shared" si="18"/>
        <v>1.6198475997999963E-10</v>
      </c>
      <c r="BP89" s="5">
        <v>4.582E-08</v>
      </c>
      <c r="BQ89" s="5">
        <v>3.76570026763</v>
      </c>
      <c r="BR89" s="5">
        <v>6386.16862421</v>
      </c>
      <c r="BS89">
        <f t="shared" si="19"/>
        <v>1.5904941951354094E-08</v>
      </c>
      <c r="BU89" s="5">
        <v>3.99E-09</v>
      </c>
      <c r="BV89" s="5">
        <v>4.16998866302</v>
      </c>
      <c r="BW89" s="5">
        <v>26.2983197998</v>
      </c>
      <c r="BX89">
        <f t="shared" si="20"/>
        <v>-7.561309261022843E-10</v>
      </c>
      <c r="BZ89" s="5">
        <v>2.9E-10</v>
      </c>
      <c r="CA89" s="5">
        <v>0.15217616684</v>
      </c>
      <c r="CB89" s="5">
        <v>12168.0026965746</v>
      </c>
      <c r="CC89">
        <f t="shared" si="21"/>
        <v>2.594359605387894E-10</v>
      </c>
    </row>
    <row r="90" spans="13:81" ht="12.75">
      <c r="M90" s="5">
        <v>9.22E-08</v>
      </c>
      <c r="N90" s="5">
        <v>4.57138609781</v>
      </c>
      <c r="O90" s="5">
        <v>4292.3308329504</v>
      </c>
      <c r="P90">
        <f t="shared" si="14"/>
        <v>6.082168421370692E-08</v>
      </c>
      <c r="R90" s="5">
        <v>9.57E-09</v>
      </c>
      <c r="S90" s="5">
        <v>4.07673573735</v>
      </c>
      <c r="T90" s="5">
        <v>6127.6554505572</v>
      </c>
      <c r="U90">
        <f t="shared" si="15"/>
        <v>-3.366690558740545E-09</v>
      </c>
      <c r="W90" s="5">
        <v>7.8E-10</v>
      </c>
      <c r="X90" s="5">
        <v>3.51469733747</v>
      </c>
      <c r="Y90" s="5">
        <v>11856.2186514245</v>
      </c>
      <c r="Z90">
        <f t="shared" si="16"/>
        <v>2.304690656271223E-10</v>
      </c>
      <c r="AQ90" s="5">
        <v>4.18E-09</v>
      </c>
      <c r="AR90" s="5">
        <v>3.75759994446</v>
      </c>
      <c r="AS90" s="5">
        <v>5230.807466803</v>
      </c>
      <c r="AT90">
        <f t="shared" si="17"/>
        <v>-4.4899561886987734E-10</v>
      </c>
      <c r="AV90" s="5">
        <v>2.1E-10</v>
      </c>
      <c r="AW90" s="5">
        <v>5.83006047147</v>
      </c>
      <c r="AX90" s="5">
        <v>7234.794256242</v>
      </c>
      <c r="AY90">
        <f t="shared" si="18"/>
        <v>-9.955079087432237E-11</v>
      </c>
      <c r="BP90" s="5">
        <v>3.335E-08</v>
      </c>
      <c r="BQ90" s="5">
        <v>3.13829943354</v>
      </c>
      <c r="BR90" s="5">
        <v>6836.6452528338</v>
      </c>
      <c r="BS90">
        <f t="shared" si="19"/>
        <v>3.1541290494468914E-08</v>
      </c>
      <c r="BU90" s="5">
        <v>2.62E-09</v>
      </c>
      <c r="BV90" s="5">
        <v>5.08316906342</v>
      </c>
      <c r="BW90" s="5">
        <v>10177.2576795336</v>
      </c>
      <c r="BX90">
        <f t="shared" si="20"/>
        <v>-2.583385468422621E-09</v>
      </c>
      <c r="BZ90" s="5">
        <v>3E-10</v>
      </c>
      <c r="CA90" s="5">
        <v>1.61904744136</v>
      </c>
      <c r="CB90" s="5">
        <v>9779.1086761254</v>
      </c>
      <c r="CC90">
        <f t="shared" si="21"/>
        <v>2.677384724619619E-10</v>
      </c>
    </row>
    <row r="91" spans="13:81" ht="12.75">
      <c r="M91" s="5">
        <v>1.0327E-07</v>
      </c>
      <c r="N91" s="5">
        <v>6.19982566125</v>
      </c>
      <c r="O91" s="5">
        <v>6438.4962494256</v>
      </c>
      <c r="P91">
        <f t="shared" si="14"/>
        <v>-3.65803020499588E-08</v>
      </c>
      <c r="R91" s="5">
        <v>1.11E-08</v>
      </c>
      <c r="S91" s="5">
        <v>3.90096793825</v>
      </c>
      <c r="T91" s="5">
        <v>11506.7697697936</v>
      </c>
      <c r="U91">
        <f t="shared" si="15"/>
        <v>8.31039537427832E-09</v>
      </c>
      <c r="W91" s="5">
        <v>8.5E-10</v>
      </c>
      <c r="X91" s="5">
        <v>0.50956043858</v>
      </c>
      <c r="Y91" s="5">
        <v>10575.4066829418</v>
      </c>
      <c r="Z91">
        <f t="shared" si="16"/>
        <v>-7.089985913246756E-10</v>
      </c>
      <c r="AQ91" s="5">
        <v>3.96E-09</v>
      </c>
      <c r="AR91" s="5">
        <v>1.22507712354</v>
      </c>
      <c r="AS91" s="5">
        <v>6438.4962494256</v>
      </c>
      <c r="AT91">
        <f t="shared" si="17"/>
        <v>3.212712257459873E-09</v>
      </c>
      <c r="AV91" s="5">
        <v>2.1E-10</v>
      </c>
      <c r="AW91" s="5">
        <v>0.69628570421</v>
      </c>
      <c r="AX91" s="5">
        <v>398.1490034082</v>
      </c>
      <c r="AY91">
        <f t="shared" si="18"/>
        <v>2.0285281737391453E-10</v>
      </c>
      <c r="BP91" s="5">
        <v>3.418E-08</v>
      </c>
      <c r="BQ91" s="5">
        <v>3.00072390334</v>
      </c>
      <c r="BR91" s="5">
        <v>4292.3308329504</v>
      </c>
      <c r="BS91">
        <f t="shared" si="19"/>
        <v>-2.568510248081633E-08</v>
      </c>
      <c r="BU91" s="5">
        <v>2.43E-09</v>
      </c>
      <c r="BV91" s="5">
        <v>2.2574609119</v>
      </c>
      <c r="BW91" s="5">
        <v>11712.9553182308</v>
      </c>
      <c r="BX91">
        <f t="shared" si="20"/>
        <v>-6.438369269776342E-10</v>
      </c>
      <c r="BZ91" s="5">
        <v>2.7E-10</v>
      </c>
      <c r="CA91" s="5">
        <v>0.76388991416</v>
      </c>
      <c r="CB91" s="5">
        <v>1589.0728952838</v>
      </c>
      <c r="CC91">
        <f t="shared" si="21"/>
        <v>-2.699042097535706E-10</v>
      </c>
    </row>
    <row r="92" spans="13:81" ht="12.75">
      <c r="M92" s="5">
        <v>1.2003E-07</v>
      </c>
      <c r="N92" s="5">
        <v>1.003514567</v>
      </c>
      <c r="O92" s="5">
        <v>632.7837393132</v>
      </c>
      <c r="P92">
        <f t="shared" si="14"/>
        <v>-1.1992294708738071E-07</v>
      </c>
      <c r="R92" s="5">
        <v>8.02E-09</v>
      </c>
      <c r="S92" s="5">
        <v>3.88778875582</v>
      </c>
      <c r="T92" s="5">
        <v>10973.55568635</v>
      </c>
      <c r="U92">
        <f t="shared" si="15"/>
        <v>7.944824599140208E-09</v>
      </c>
      <c r="W92" s="5">
        <v>6.7E-10</v>
      </c>
      <c r="X92" s="5">
        <v>3.62043033405</v>
      </c>
      <c r="Y92" s="5">
        <v>16496.3613962024</v>
      </c>
      <c r="Z92">
        <f t="shared" si="16"/>
        <v>-2.386069841800719E-10</v>
      </c>
      <c r="AQ92" s="5">
        <v>3.22E-09</v>
      </c>
      <c r="AR92" s="5">
        <v>1.21162178805</v>
      </c>
      <c r="AS92" s="5">
        <v>8662.240323563</v>
      </c>
      <c r="AT92">
        <f t="shared" si="17"/>
        <v>-2.1721158145352864E-09</v>
      </c>
      <c r="AV92" s="5">
        <v>2.2E-10</v>
      </c>
      <c r="AW92" s="5">
        <v>5.02222806555</v>
      </c>
      <c r="AX92" s="5">
        <v>6127.6554505572</v>
      </c>
      <c r="AY92">
        <f t="shared" si="18"/>
        <v>1.2166776099725914E-10</v>
      </c>
      <c r="BP92" s="5">
        <v>3.598E-08</v>
      </c>
      <c r="BQ92" s="5">
        <v>5.70718084323</v>
      </c>
      <c r="BR92" s="5">
        <v>5643.1785636774</v>
      </c>
      <c r="BS92">
        <f t="shared" si="19"/>
        <v>3.163477874995647E-08</v>
      </c>
      <c r="BU92" s="5">
        <v>2.37E-09</v>
      </c>
      <c r="BV92" s="5">
        <v>1.05070575346</v>
      </c>
      <c r="BW92" s="5">
        <v>242.728603974</v>
      </c>
      <c r="BX92">
        <f t="shared" si="20"/>
        <v>-9.559526133620442E-10</v>
      </c>
      <c r="BZ92" s="5">
        <v>3.6E-10</v>
      </c>
      <c r="CA92" s="5">
        <v>2.74712003443</v>
      </c>
      <c r="CB92" s="5">
        <v>3738.761430108</v>
      </c>
      <c r="CC92">
        <f t="shared" si="21"/>
        <v>-2.857360341683581E-10</v>
      </c>
    </row>
    <row r="93" spans="13:81" ht="12.75">
      <c r="M93" s="5">
        <v>1.0827E-07</v>
      </c>
      <c r="N93" s="5">
        <v>0.32734520222</v>
      </c>
      <c r="O93" s="5">
        <v>103.0927742186</v>
      </c>
      <c r="P93">
        <f t="shared" si="14"/>
        <v>-1.4616913102972177E-08</v>
      </c>
      <c r="R93" s="5">
        <v>7.8E-09</v>
      </c>
      <c r="S93" s="5">
        <v>2.39934293755</v>
      </c>
      <c r="T93" s="5">
        <v>1589.0728952838</v>
      </c>
      <c r="U93">
        <f t="shared" si="15"/>
        <v>7.111122309814149E-10</v>
      </c>
      <c r="W93" s="5">
        <v>5.5E-10</v>
      </c>
      <c r="X93" s="5">
        <v>5.24637517308</v>
      </c>
      <c r="Y93" s="5">
        <v>3340.6124266998</v>
      </c>
      <c r="Z93">
        <f t="shared" si="16"/>
        <v>5.188229713300821E-10</v>
      </c>
      <c r="AQ93" s="5">
        <v>2.84E-09</v>
      </c>
      <c r="AR93" s="5">
        <v>5.64170320068</v>
      </c>
      <c r="AS93" s="5">
        <v>1589.0728952838</v>
      </c>
      <c r="AT93">
        <f t="shared" si="17"/>
        <v>-5.421105189647116E-10</v>
      </c>
      <c r="AV93" s="5">
        <v>2E-10</v>
      </c>
      <c r="AW93" s="5">
        <v>3.4761126529</v>
      </c>
      <c r="AX93" s="5">
        <v>6148.010769956</v>
      </c>
      <c r="AY93">
        <f t="shared" si="18"/>
        <v>-1.2697696879509665E-10</v>
      </c>
      <c r="BP93" s="5">
        <v>3.237E-08</v>
      </c>
      <c r="BQ93" s="5">
        <v>4.16448773994</v>
      </c>
      <c r="BR93" s="5">
        <v>9917.6968745098</v>
      </c>
      <c r="BS93">
        <f t="shared" si="19"/>
        <v>4.987570473726088E-09</v>
      </c>
      <c r="BU93" s="5">
        <v>2.75E-09</v>
      </c>
      <c r="BV93" s="5">
        <v>3.45319481756</v>
      </c>
      <c r="BW93" s="5">
        <v>5884.9268465832</v>
      </c>
      <c r="BX93">
        <f t="shared" si="20"/>
        <v>2.4355987346812898E-09</v>
      </c>
      <c r="BZ93" s="5">
        <v>3.3E-10</v>
      </c>
      <c r="CA93" s="5">
        <v>3.08807829566</v>
      </c>
      <c r="CB93" s="5">
        <v>3930.2096962196</v>
      </c>
      <c r="CC93">
        <f t="shared" si="21"/>
        <v>2.0669952671214413E-10</v>
      </c>
    </row>
    <row r="94" spans="13:81" ht="12.75">
      <c r="M94" s="5">
        <v>8.356E-08</v>
      </c>
      <c r="N94" s="5">
        <v>4.53902685948</v>
      </c>
      <c r="O94" s="5">
        <v>25132.3033999656</v>
      </c>
      <c r="P94">
        <f t="shared" si="14"/>
        <v>1.4834312244119717E-08</v>
      </c>
      <c r="R94" s="5">
        <v>7.58E-09</v>
      </c>
      <c r="S94" s="5">
        <v>1.30034364248</v>
      </c>
      <c r="T94" s="5">
        <v>103.0927742186</v>
      </c>
      <c r="U94">
        <f t="shared" si="15"/>
        <v>-6.784049338212341E-09</v>
      </c>
      <c r="W94" s="5">
        <v>4.8E-10</v>
      </c>
      <c r="X94" s="5">
        <v>5.43966777314</v>
      </c>
      <c r="Y94" s="5">
        <v>20426.571092422</v>
      </c>
      <c r="Z94">
        <f t="shared" si="16"/>
        <v>-2.76826521830521E-10</v>
      </c>
      <c r="AQ94" s="5">
        <v>3.79E-09</v>
      </c>
      <c r="AR94" s="5">
        <v>1.72248432748</v>
      </c>
      <c r="AS94" s="5">
        <v>14945.3161735544</v>
      </c>
      <c r="AT94">
        <f t="shared" si="17"/>
        <v>3.221920687208443E-09</v>
      </c>
      <c r="AV94" s="5">
        <v>2E-10</v>
      </c>
      <c r="AW94" s="5">
        <v>0.90769829044</v>
      </c>
      <c r="AX94" s="5">
        <v>5481.2549188676</v>
      </c>
      <c r="AY94">
        <f t="shared" si="18"/>
        <v>7.644770471739195E-11</v>
      </c>
      <c r="BP94" s="5">
        <v>4.154E-08</v>
      </c>
      <c r="BQ94" s="5">
        <v>2.59941292162</v>
      </c>
      <c r="BR94" s="5">
        <v>7058.5984613154</v>
      </c>
      <c r="BS94">
        <f t="shared" si="19"/>
        <v>-3.8561360629793394E-08</v>
      </c>
      <c r="BU94" s="5">
        <v>2.55E-09</v>
      </c>
      <c r="BV94" s="5">
        <v>5.38496831087</v>
      </c>
      <c r="BW94" s="5">
        <v>21228.3920235458</v>
      </c>
      <c r="BX94">
        <f t="shared" si="20"/>
        <v>2.444384049242254E-09</v>
      </c>
      <c r="BZ94" s="5">
        <v>3.1E-10</v>
      </c>
      <c r="CA94" s="5">
        <v>5.34906619513</v>
      </c>
      <c r="CB94" s="5">
        <v>143571.324284816</v>
      </c>
      <c r="CC94">
        <f t="shared" si="21"/>
        <v>-3.051827029208796E-10</v>
      </c>
    </row>
    <row r="95" spans="13:81" ht="12.75">
      <c r="M95" s="5">
        <v>1.0005E-07</v>
      </c>
      <c r="N95" s="5">
        <v>6.0291496328</v>
      </c>
      <c r="O95" s="5">
        <v>5746.271337896</v>
      </c>
      <c r="P95">
        <f t="shared" si="14"/>
        <v>3.5853542983234784E-08</v>
      </c>
      <c r="R95" s="5">
        <v>7.49E-09</v>
      </c>
      <c r="S95" s="5">
        <v>4.962758033</v>
      </c>
      <c r="T95" s="5">
        <v>6496.3749454294</v>
      </c>
      <c r="U95">
        <f t="shared" si="15"/>
        <v>-5.501855593147959E-09</v>
      </c>
      <c r="W95" s="5">
        <v>6.4E-10</v>
      </c>
      <c r="X95" s="5">
        <v>5.79535817813</v>
      </c>
      <c r="Y95" s="5">
        <v>2388.8940204492</v>
      </c>
      <c r="Z95">
        <f t="shared" si="16"/>
        <v>6.392697698866316E-10</v>
      </c>
      <c r="AQ95" s="5">
        <v>3.2E-09</v>
      </c>
      <c r="AR95" s="5">
        <v>3.94161159962</v>
      </c>
      <c r="AS95" s="5">
        <v>7330.8231617461</v>
      </c>
      <c r="AT95">
        <f t="shared" si="17"/>
        <v>3.518410177694239E-10</v>
      </c>
      <c r="AV95" s="5">
        <v>2E-10</v>
      </c>
      <c r="AW95" s="5">
        <v>0.03081589303</v>
      </c>
      <c r="AX95" s="5">
        <v>6418.1409300268</v>
      </c>
      <c r="AY95">
        <f t="shared" si="18"/>
        <v>-9.94033353567787E-11</v>
      </c>
      <c r="BP95" s="5">
        <v>3.362E-08</v>
      </c>
      <c r="BQ95" s="5">
        <v>4.54577697964</v>
      </c>
      <c r="BR95" s="5">
        <v>4732.0306273434</v>
      </c>
      <c r="BS95">
        <f t="shared" si="19"/>
        <v>9.696944428605738E-09</v>
      </c>
      <c r="BU95" s="5">
        <v>3.07E-09</v>
      </c>
      <c r="BV95" s="5">
        <v>4.24313526604</v>
      </c>
      <c r="BW95" s="5">
        <v>3738.761430108</v>
      </c>
      <c r="BX95">
        <f t="shared" si="20"/>
        <v>-2.0442945467333016E-09</v>
      </c>
      <c r="BZ95" s="5">
        <v>2.5E-10</v>
      </c>
      <c r="CA95" s="5">
        <v>0.10240267494</v>
      </c>
      <c r="CB95" s="5">
        <v>22483.8485744925</v>
      </c>
      <c r="CC95">
        <f t="shared" si="21"/>
        <v>1.7976414646361722E-10</v>
      </c>
    </row>
    <row r="96" spans="13:81" ht="12.75">
      <c r="M96" s="5">
        <v>8.409E-08</v>
      </c>
      <c r="N96" s="5">
        <v>3.29946744189</v>
      </c>
      <c r="O96" s="5">
        <v>7234.794256242</v>
      </c>
      <c r="P96">
        <f t="shared" si="14"/>
        <v>7.51270970745937E-08</v>
      </c>
      <c r="R96" s="5">
        <v>7.65E-09</v>
      </c>
      <c r="S96" s="5">
        <v>3.36312388424</v>
      </c>
      <c r="T96" s="5">
        <v>36.0278666774</v>
      </c>
      <c r="U96">
        <f t="shared" si="15"/>
        <v>-5.834228039488286E-09</v>
      </c>
      <c r="W96" s="5">
        <v>4.6E-10</v>
      </c>
      <c r="X96" s="5">
        <v>5.43499966519</v>
      </c>
      <c r="Y96" s="5">
        <v>6275.9623029906</v>
      </c>
      <c r="Z96">
        <f t="shared" si="16"/>
        <v>7.292739641460421E-11</v>
      </c>
      <c r="AQ96" s="5">
        <v>3.13E-09</v>
      </c>
      <c r="AR96" s="5">
        <v>5.47602376446</v>
      </c>
      <c r="AS96" s="5">
        <v>1194.4470102246</v>
      </c>
      <c r="AT96">
        <f t="shared" si="17"/>
        <v>-2.685656372226939E-09</v>
      </c>
      <c r="AV96" s="5">
        <v>2E-10</v>
      </c>
      <c r="AW96" s="5">
        <v>3.74220084927</v>
      </c>
      <c r="AX96" s="5">
        <v>1589.0728952838</v>
      </c>
      <c r="AY96">
        <f t="shared" si="18"/>
        <v>1.9813576115555517E-10</v>
      </c>
      <c r="BP96" s="5">
        <v>2.978E-08</v>
      </c>
      <c r="BQ96" s="5">
        <v>1.3056126882</v>
      </c>
      <c r="BR96" s="5">
        <v>6283.14316029419</v>
      </c>
      <c r="BS96">
        <f t="shared" si="19"/>
        <v>-2.584607242163352E-08</v>
      </c>
      <c r="BU96" s="5">
        <v>2.16E-09</v>
      </c>
      <c r="BV96" s="5">
        <v>3.46037894728</v>
      </c>
      <c r="BW96" s="5">
        <v>213.299095438</v>
      </c>
      <c r="BX96">
        <f t="shared" si="20"/>
        <v>2.1590231848655896E-09</v>
      </c>
      <c r="BZ96" s="5">
        <v>3E-10</v>
      </c>
      <c r="CA96" s="5">
        <v>3.47110495524</v>
      </c>
      <c r="CB96" s="5">
        <v>14945.3161735544</v>
      </c>
      <c r="CC96">
        <f t="shared" si="21"/>
        <v>-2.0060232385346096E-10</v>
      </c>
    </row>
    <row r="97" spans="13:81" ht="12.75">
      <c r="M97" s="5">
        <v>8.006E-08</v>
      </c>
      <c r="N97" s="5">
        <v>5.82145271907</v>
      </c>
      <c r="O97" s="5">
        <v>28.4491874678</v>
      </c>
      <c r="P97">
        <f t="shared" si="14"/>
        <v>7.979605459327309E-08</v>
      </c>
      <c r="R97" s="5">
        <v>9.15E-09</v>
      </c>
      <c r="S97" s="5">
        <v>5.41543742089</v>
      </c>
      <c r="T97" s="5">
        <v>206.1855484372</v>
      </c>
      <c r="U97">
        <f t="shared" si="15"/>
        <v>-2.8712790574199682E-09</v>
      </c>
      <c r="W97" s="5">
        <v>5E-10</v>
      </c>
      <c r="X97" s="5">
        <v>3.86263598617</v>
      </c>
      <c r="Y97" s="5">
        <v>5729.506447149</v>
      </c>
      <c r="Z97">
        <f t="shared" si="16"/>
        <v>1.874743721497171E-10</v>
      </c>
      <c r="AQ97" s="5">
        <v>2.92E-09</v>
      </c>
      <c r="AR97" s="5">
        <v>1.38971327603</v>
      </c>
      <c r="AS97" s="5">
        <v>11769.8536931664</v>
      </c>
      <c r="AT97">
        <f t="shared" si="17"/>
        <v>-4.693179163558522E-10</v>
      </c>
      <c r="AV97" s="5">
        <v>2.1E-10</v>
      </c>
      <c r="AW97" s="5">
        <v>4.00149269576</v>
      </c>
      <c r="AX97" s="5">
        <v>3154.6870848956</v>
      </c>
      <c r="AY97">
        <f t="shared" si="18"/>
        <v>-1.2582036320247026E-10</v>
      </c>
      <c r="BP97" s="5">
        <v>2.765E-08</v>
      </c>
      <c r="BQ97" s="5">
        <v>0.51311975679</v>
      </c>
      <c r="BR97" s="5">
        <v>26.2983197998</v>
      </c>
      <c r="BS97">
        <f t="shared" si="19"/>
        <v>1.7937833401194063E-08</v>
      </c>
      <c r="BU97" s="5">
        <v>1.96E-09</v>
      </c>
      <c r="BV97" s="5">
        <v>0.69029243914</v>
      </c>
      <c r="BW97" s="5">
        <v>1990.745017041</v>
      </c>
      <c r="BX97">
        <f t="shared" si="20"/>
        <v>-1.12768015239267E-09</v>
      </c>
      <c r="BZ97" s="5">
        <v>2.4E-10</v>
      </c>
      <c r="CA97" s="5">
        <v>1.10425016019</v>
      </c>
      <c r="CB97" s="5">
        <v>4535.0594369244</v>
      </c>
      <c r="CC97">
        <f t="shared" si="21"/>
        <v>1.1500894323268994E-10</v>
      </c>
    </row>
    <row r="98" spans="13:81" ht="12.75">
      <c r="M98" s="5">
        <v>1.0523E-07</v>
      </c>
      <c r="N98" s="5">
        <v>0.93871805506</v>
      </c>
      <c r="O98" s="5">
        <v>11926.2544136688</v>
      </c>
      <c r="P98">
        <f t="shared" si="14"/>
        <v>-1.0242285806131947E-07</v>
      </c>
      <c r="R98" s="5">
        <v>7.76E-09</v>
      </c>
      <c r="S98" s="5">
        <v>2.57589093871</v>
      </c>
      <c r="T98" s="5">
        <v>11371.7046897582</v>
      </c>
      <c r="U98">
        <f t="shared" si="15"/>
        <v>-5.757972823828443E-09</v>
      </c>
      <c r="W98" s="5">
        <v>4.4E-10</v>
      </c>
      <c r="X98" s="5">
        <v>1.52269529228</v>
      </c>
      <c r="Y98" s="5">
        <v>12168.0026965746</v>
      </c>
      <c r="Z98">
        <f t="shared" si="16"/>
        <v>2.7099436235602085E-10</v>
      </c>
      <c r="AQ98" s="5">
        <v>3.05E-09</v>
      </c>
      <c r="AR98" s="5">
        <v>0.80429352049</v>
      </c>
      <c r="AS98" s="5">
        <v>37724.7534197482</v>
      </c>
      <c r="AT98">
        <f t="shared" si="17"/>
        <v>-2.781889540319004E-09</v>
      </c>
      <c r="AV98" s="5">
        <v>1.8E-10</v>
      </c>
      <c r="AW98" s="5">
        <v>1.58348238359</v>
      </c>
      <c r="AX98" s="5">
        <v>2118.7638603784</v>
      </c>
      <c r="AY98">
        <f t="shared" si="18"/>
        <v>1.3825034647979878E-11</v>
      </c>
      <c r="BP98" s="5">
        <v>2.802E-08</v>
      </c>
      <c r="BQ98" s="5">
        <v>5.66263240521</v>
      </c>
      <c r="BR98" s="5">
        <v>8635.9420037632</v>
      </c>
      <c r="BS98">
        <f t="shared" si="19"/>
        <v>-6.040802477091682E-09</v>
      </c>
      <c r="BU98" s="5">
        <v>1.98E-09</v>
      </c>
      <c r="BV98" s="5">
        <v>5.16301829964</v>
      </c>
      <c r="BW98" s="5">
        <v>12352.8526045448</v>
      </c>
      <c r="BX98">
        <f t="shared" si="20"/>
        <v>1.466453969442418E-09</v>
      </c>
      <c r="BZ98" s="5">
        <v>2.4E-10</v>
      </c>
      <c r="CA98" s="5">
        <v>1.5803725978</v>
      </c>
      <c r="CB98" s="5">
        <v>6496.3749454294</v>
      </c>
      <c r="CC98">
        <f t="shared" si="21"/>
        <v>2.100435801607867E-10</v>
      </c>
    </row>
    <row r="99" spans="13:81" ht="12.75">
      <c r="M99" s="5">
        <v>7.686E-08</v>
      </c>
      <c r="N99" s="5">
        <v>3.12142363172</v>
      </c>
      <c r="O99" s="5">
        <v>7238.6755916</v>
      </c>
      <c r="P99">
        <f t="shared" si="14"/>
        <v>6.377868278662035E-08</v>
      </c>
      <c r="R99" s="5">
        <v>7.72E-09</v>
      </c>
      <c r="S99" s="5">
        <v>3.98369209464</v>
      </c>
      <c r="T99" s="5">
        <v>955.5997416086</v>
      </c>
      <c r="U99">
        <f t="shared" si="15"/>
        <v>-3.7949271119274086E-09</v>
      </c>
      <c r="W99" s="5">
        <v>5.7E-10</v>
      </c>
      <c r="X99" s="5">
        <v>4.96352373486</v>
      </c>
      <c r="Y99" s="5">
        <v>14945.3161735544</v>
      </c>
      <c r="Z99">
        <f t="shared" si="16"/>
        <v>-4.523680014736618E-10</v>
      </c>
      <c r="AQ99" s="5">
        <v>2.57E-09</v>
      </c>
      <c r="AR99" s="5">
        <v>5.81382809757</v>
      </c>
      <c r="AS99" s="5">
        <v>426.598190876</v>
      </c>
      <c r="AT99">
        <f t="shared" si="17"/>
        <v>1.2859312317924593E-09</v>
      </c>
      <c r="AV99" s="5">
        <v>1.9E-10</v>
      </c>
      <c r="AW99" s="5">
        <v>0.85407021371</v>
      </c>
      <c r="AX99" s="5">
        <v>14712.317116458</v>
      </c>
      <c r="AY99">
        <f t="shared" si="18"/>
        <v>-1.821427374077767E-10</v>
      </c>
      <c r="BP99" s="5">
        <v>2.927E-08</v>
      </c>
      <c r="BQ99" s="5">
        <v>5.73787481548</v>
      </c>
      <c r="BR99" s="5">
        <v>16200.7727245012</v>
      </c>
      <c r="BS99">
        <f t="shared" si="19"/>
        <v>-2.3661491726301818E-08</v>
      </c>
      <c r="BU99" s="5">
        <v>2.14E-09</v>
      </c>
      <c r="BV99" s="5">
        <v>3.91876200279</v>
      </c>
      <c r="BW99" s="5">
        <v>13916.0191096416</v>
      </c>
      <c r="BX99">
        <f t="shared" si="20"/>
        <v>4.3709499335175754E-11</v>
      </c>
      <c r="BZ99" s="5">
        <v>2.3E-10</v>
      </c>
      <c r="CA99" s="5">
        <v>3.87710321433</v>
      </c>
      <c r="CB99" s="5">
        <v>6275.9623029906</v>
      </c>
      <c r="CC99">
        <f t="shared" si="21"/>
        <v>2.2754263792725477E-10</v>
      </c>
    </row>
    <row r="100" spans="13:81" ht="12.75">
      <c r="M100" s="5">
        <v>9.378E-08</v>
      </c>
      <c r="N100" s="5">
        <v>2.62414241032</v>
      </c>
      <c r="O100" s="5">
        <v>5760.4984318976</v>
      </c>
      <c r="P100">
        <f t="shared" si="14"/>
        <v>-3.991349341367519E-08</v>
      </c>
      <c r="R100" s="5">
        <v>7.49E-09</v>
      </c>
      <c r="S100" s="5">
        <v>5.17890001805</v>
      </c>
      <c r="T100" s="5">
        <v>10969.9652576982</v>
      </c>
      <c r="U100">
        <f t="shared" si="15"/>
        <v>3.356905552331887E-09</v>
      </c>
      <c r="W100" s="5">
        <v>4.5E-10</v>
      </c>
      <c r="X100" s="5">
        <v>1.0086123016</v>
      </c>
      <c r="Y100" s="5">
        <v>8635.9420037632</v>
      </c>
      <c r="Z100">
        <f t="shared" si="16"/>
        <v>-4.330101293394348E-10</v>
      </c>
      <c r="AQ100" s="5">
        <v>2.65E-09</v>
      </c>
      <c r="AR100" s="5">
        <v>6.10358507671</v>
      </c>
      <c r="AS100" s="5">
        <v>6836.6452528338</v>
      </c>
      <c r="AT100">
        <f t="shared" si="17"/>
        <v>-2.618416328583959E-09</v>
      </c>
      <c r="BP100" s="5">
        <v>3.164E-08</v>
      </c>
      <c r="BQ100" s="5">
        <v>1.69140262657</v>
      </c>
      <c r="BR100" s="5">
        <v>11015.1064773348</v>
      </c>
      <c r="BS100">
        <f t="shared" si="19"/>
        <v>-6.498891267419267E-09</v>
      </c>
      <c r="BU100" s="5">
        <v>2.12E-09</v>
      </c>
      <c r="BV100" s="5">
        <v>4.00861198517</v>
      </c>
      <c r="BW100" s="5">
        <v>5230.807466803</v>
      </c>
      <c r="BX100">
        <f t="shared" si="20"/>
        <v>3.029444553792642E-10</v>
      </c>
      <c r="BZ100" s="5">
        <v>2.5E-10</v>
      </c>
      <c r="CA100" s="5">
        <v>3.9452977897</v>
      </c>
      <c r="CB100" s="5">
        <v>3128.3887650958</v>
      </c>
      <c r="CC100">
        <f t="shared" si="21"/>
        <v>-5.8088338171804554E-11</v>
      </c>
    </row>
    <row r="101" spans="13:81" ht="12.75">
      <c r="M101" s="5">
        <v>8.127E-08</v>
      </c>
      <c r="N101" s="5">
        <v>6.11228001785</v>
      </c>
      <c r="O101" s="5">
        <v>4732.0306273434</v>
      </c>
      <c r="P101">
        <f t="shared" si="14"/>
        <v>7.791607704641601E-08</v>
      </c>
      <c r="R101" s="5">
        <v>8.06E-09</v>
      </c>
      <c r="S101" s="5">
        <v>0.34218864254</v>
      </c>
      <c r="T101" s="5">
        <v>9917.6968745098</v>
      </c>
      <c r="U101">
        <f t="shared" si="15"/>
        <v>4.046820057392798E-09</v>
      </c>
      <c r="W101" s="5">
        <v>4.3E-10</v>
      </c>
      <c r="X101" s="5">
        <v>3.30685683359</v>
      </c>
      <c r="Y101" s="5">
        <v>9779.1086761254</v>
      </c>
      <c r="Z101">
        <f t="shared" si="16"/>
        <v>-2.3745892307593193E-10</v>
      </c>
      <c r="AQ101" s="5">
        <v>2.5E-09</v>
      </c>
      <c r="AR101" s="5">
        <v>4.56452895547</v>
      </c>
      <c r="AS101" s="5">
        <v>7477.522860216</v>
      </c>
      <c r="AT101">
        <f t="shared" si="17"/>
        <v>-1.5460598547113924E-09</v>
      </c>
      <c r="BP101" s="5">
        <v>2.598E-08</v>
      </c>
      <c r="BQ101" s="5">
        <v>2.96244118586</v>
      </c>
      <c r="BR101" s="5">
        <v>25132.3033999656</v>
      </c>
      <c r="BS101">
        <f t="shared" si="19"/>
        <v>2.5540193173549518E-08</v>
      </c>
      <c r="BU101" s="5">
        <v>1.84E-09</v>
      </c>
      <c r="BV101" s="5">
        <v>5.59805976614</v>
      </c>
      <c r="BW101" s="5">
        <v>6283.14316029419</v>
      </c>
      <c r="BX101">
        <f t="shared" si="20"/>
        <v>-1.8350072787406896E-10</v>
      </c>
      <c r="BZ101" s="5">
        <v>2.3E-10</v>
      </c>
      <c r="CA101" s="5">
        <v>3.44685609601</v>
      </c>
      <c r="CB101" s="5">
        <v>4136.9104335162</v>
      </c>
      <c r="CC101">
        <f t="shared" si="21"/>
        <v>-1.4077898328508942E-10</v>
      </c>
    </row>
    <row r="102" spans="13:81" ht="12.75">
      <c r="M102" s="5">
        <v>9.232E-08</v>
      </c>
      <c r="N102" s="5">
        <v>0.48343968736</v>
      </c>
      <c r="O102" s="5">
        <v>522.5774180938</v>
      </c>
      <c r="P102">
        <f t="shared" si="14"/>
        <v>3.433368203527293E-08</v>
      </c>
      <c r="R102" s="5">
        <v>7.28E-09</v>
      </c>
      <c r="S102" s="5">
        <v>5.20962563787</v>
      </c>
      <c r="T102" s="5">
        <v>38.0276726358</v>
      </c>
      <c r="U102">
        <f t="shared" si="15"/>
        <v>6.148845014982119E-09</v>
      </c>
      <c r="W102" s="5">
        <v>4.2E-10</v>
      </c>
      <c r="X102" s="5">
        <v>0.6348125893</v>
      </c>
      <c r="Y102" s="5">
        <v>2699.7348193176</v>
      </c>
      <c r="Z102">
        <f t="shared" si="16"/>
        <v>2.4250439975309367E-10</v>
      </c>
      <c r="AQ102" s="5">
        <v>2.66E-09</v>
      </c>
      <c r="AR102" s="5">
        <v>2.62926282354</v>
      </c>
      <c r="AS102" s="5">
        <v>7238.6755916</v>
      </c>
      <c r="AT102">
        <f t="shared" si="17"/>
        <v>1.243864508504426E-09</v>
      </c>
      <c r="BP102" s="5">
        <v>3.519E-08</v>
      </c>
      <c r="BQ102" s="5">
        <v>3.62639325753</v>
      </c>
      <c r="BR102" s="5">
        <v>244287.600007227</v>
      </c>
      <c r="BS102">
        <f t="shared" si="19"/>
        <v>-2.939039522664789E-08</v>
      </c>
      <c r="BU102" s="5">
        <v>1.84E-09</v>
      </c>
      <c r="BV102" s="5">
        <v>2.85275392124</v>
      </c>
      <c r="BW102" s="5">
        <v>7238.6755916</v>
      </c>
      <c r="BX102">
        <f t="shared" si="20"/>
        <v>1.199493348601684E-09</v>
      </c>
      <c r="BZ102" s="5">
        <v>2.3E-10</v>
      </c>
      <c r="CA102" s="5">
        <v>3.83156029849</v>
      </c>
      <c r="CB102" s="5">
        <v>5753.3848848968</v>
      </c>
      <c r="CC102">
        <f t="shared" si="21"/>
        <v>1.4330232462266608E-10</v>
      </c>
    </row>
    <row r="103" spans="13:81" ht="12.75">
      <c r="M103" s="5">
        <v>9.802E-08</v>
      </c>
      <c r="N103" s="5">
        <v>5.24413991147</v>
      </c>
      <c r="O103" s="5">
        <v>27511.4678735372</v>
      </c>
      <c r="P103">
        <f t="shared" si="14"/>
        <v>-7.869807260113876E-08</v>
      </c>
      <c r="R103" s="5">
        <v>6.85E-09</v>
      </c>
      <c r="S103" s="5">
        <v>2.77592961854</v>
      </c>
      <c r="T103" s="5">
        <v>20.7753954924</v>
      </c>
      <c r="U103">
        <f t="shared" si="15"/>
        <v>-6.823619281635091E-09</v>
      </c>
      <c r="W103" s="5">
        <v>4.1E-10</v>
      </c>
      <c r="X103" s="5">
        <v>5.67996766641</v>
      </c>
      <c r="Y103" s="5">
        <v>11712.9553182308</v>
      </c>
      <c r="Z103">
        <f t="shared" si="16"/>
        <v>2.1397652185634576E-10</v>
      </c>
      <c r="AQ103" s="5">
        <v>2.63E-09</v>
      </c>
      <c r="AR103" s="5">
        <v>6.22089501237</v>
      </c>
      <c r="AS103" s="5">
        <v>6133.5126528568</v>
      </c>
      <c r="AT103">
        <f t="shared" si="17"/>
        <v>2.5185103011168505E-09</v>
      </c>
      <c r="BP103" s="5">
        <v>2.676E-08</v>
      </c>
      <c r="BQ103" s="5">
        <v>4.2072570085</v>
      </c>
      <c r="BR103" s="5">
        <v>18073.7049386502</v>
      </c>
      <c r="BS103">
        <f t="shared" si="19"/>
        <v>1.664752598665458E-08</v>
      </c>
      <c r="BU103" s="5">
        <v>1.79E-09</v>
      </c>
      <c r="BV103" s="5">
        <v>2.54259058334</v>
      </c>
      <c r="BW103" s="5">
        <v>14314.1681130498</v>
      </c>
      <c r="BX103">
        <f t="shared" si="20"/>
        <v>1.2678281204904588E-09</v>
      </c>
      <c r="BZ103" s="5">
        <v>2.2E-10</v>
      </c>
      <c r="CA103" s="5">
        <v>1.86956128067</v>
      </c>
      <c r="CB103" s="5">
        <v>16730.4636895958</v>
      </c>
      <c r="CC103">
        <f t="shared" si="21"/>
        <v>1.8701713386570814E-10</v>
      </c>
    </row>
    <row r="104" spans="13:81" ht="12.75">
      <c r="M104" s="5">
        <v>7.871E-08</v>
      </c>
      <c r="N104" s="5">
        <v>0.99590177926</v>
      </c>
      <c r="O104" s="5">
        <v>5643.1785636774</v>
      </c>
      <c r="P104">
        <f t="shared" si="14"/>
        <v>3.742007895616907E-08</v>
      </c>
      <c r="R104" s="5">
        <v>6.36E-09</v>
      </c>
      <c r="S104" s="5">
        <v>4.28242193632</v>
      </c>
      <c r="T104" s="5">
        <v>28.4491874678</v>
      </c>
      <c r="U104">
        <f t="shared" si="15"/>
        <v>-3.144266931478408E-10</v>
      </c>
      <c r="W104" s="5">
        <v>5.6E-10</v>
      </c>
      <c r="X104" s="5">
        <v>4.34024451468</v>
      </c>
      <c r="Y104" s="5">
        <v>90955.5516944961</v>
      </c>
      <c r="Z104">
        <f t="shared" si="16"/>
        <v>-1.9973061804715097E-10</v>
      </c>
      <c r="AQ104" s="5">
        <v>3.06E-09</v>
      </c>
      <c r="AR104" s="5">
        <v>2.79682380531</v>
      </c>
      <c r="AS104" s="5">
        <v>1748.016413067</v>
      </c>
      <c r="AT104">
        <f t="shared" si="17"/>
        <v>1.538852512683157E-09</v>
      </c>
      <c r="BP104" s="5">
        <v>2.978E-08</v>
      </c>
      <c r="BQ104" s="5">
        <v>1.74971565805</v>
      </c>
      <c r="BR104" s="5">
        <v>6283.0085396886</v>
      </c>
      <c r="BS104">
        <f t="shared" si="19"/>
        <v>-1.7027203341474887E-08</v>
      </c>
      <c r="BU104" s="5">
        <v>2.25E-09</v>
      </c>
      <c r="BV104" s="5">
        <v>1.64458698399</v>
      </c>
      <c r="BW104" s="5">
        <v>4732.0306273434</v>
      </c>
      <c r="BX104">
        <f t="shared" si="20"/>
        <v>-1.1432439610441337E-09</v>
      </c>
      <c r="BZ104" s="5">
        <v>2.5E-10</v>
      </c>
      <c r="CA104" s="5">
        <v>2.42188933855</v>
      </c>
      <c r="CB104" s="5">
        <v>5729.506447149</v>
      </c>
      <c r="CC104">
        <f t="shared" si="21"/>
        <v>-2.1764810851222623E-10</v>
      </c>
    </row>
    <row r="105" spans="13:81" ht="12.75">
      <c r="M105" s="5">
        <v>8.123E-08</v>
      </c>
      <c r="N105" s="5">
        <v>6.2705301365</v>
      </c>
      <c r="O105" s="5">
        <v>426.598190876</v>
      </c>
      <c r="P105">
        <f t="shared" si="14"/>
        <v>6.749382860024247E-08</v>
      </c>
      <c r="R105" s="5">
        <v>6.08E-09</v>
      </c>
      <c r="S105" s="5">
        <v>5.63278508906</v>
      </c>
      <c r="T105" s="5">
        <v>10984.1923516998</v>
      </c>
      <c r="U105">
        <f t="shared" si="15"/>
        <v>-1.0851433904692387E-09</v>
      </c>
      <c r="W105" s="5">
        <v>4.1E-10</v>
      </c>
      <c r="X105" s="5">
        <v>5.81722212845</v>
      </c>
      <c r="Y105" s="5">
        <v>709.9330485583</v>
      </c>
      <c r="Z105">
        <f t="shared" si="16"/>
        <v>-3.783708816185603E-10</v>
      </c>
      <c r="AQ105" s="5">
        <v>2.36E-09</v>
      </c>
      <c r="AR105" s="5">
        <v>2.46093023714</v>
      </c>
      <c r="AS105" s="5">
        <v>11371.7046897582</v>
      </c>
      <c r="AT105">
        <f t="shared" si="17"/>
        <v>-1.9210592761597814E-09</v>
      </c>
      <c r="BP105" s="5">
        <v>2.287E-08</v>
      </c>
      <c r="BQ105" s="5">
        <v>1.06975704977</v>
      </c>
      <c r="BR105" s="5">
        <v>14314.1681130498</v>
      </c>
      <c r="BS105">
        <f t="shared" si="19"/>
        <v>-1.4482853100706704E-08</v>
      </c>
      <c r="BU105" s="5">
        <v>2.36E-09</v>
      </c>
      <c r="BV105" s="5">
        <v>5.58826125715</v>
      </c>
      <c r="BW105" s="5">
        <v>6069.7767545534</v>
      </c>
      <c r="BX105">
        <f t="shared" si="20"/>
        <v>8.707829936750689E-10</v>
      </c>
      <c r="BZ105" s="5">
        <v>2E-10</v>
      </c>
      <c r="CA105" s="5">
        <v>1.78208352927</v>
      </c>
      <c r="CB105" s="5">
        <v>17789.845619785</v>
      </c>
      <c r="CC105">
        <f t="shared" si="21"/>
        <v>1.1458057697971043E-10</v>
      </c>
    </row>
    <row r="106" spans="13:81" ht="12.75">
      <c r="M106" s="5">
        <v>9.048E-08</v>
      </c>
      <c r="N106" s="5">
        <v>5.33686335897</v>
      </c>
      <c r="O106" s="5">
        <v>6386.16862421</v>
      </c>
      <c r="P106">
        <f t="shared" si="14"/>
        <v>-8.486560272167327E-08</v>
      </c>
      <c r="R106" s="5">
        <v>7.04E-09</v>
      </c>
      <c r="S106" s="5">
        <v>5.60738823665</v>
      </c>
      <c r="T106" s="5">
        <v>3738.761430108</v>
      </c>
      <c r="U106">
        <f t="shared" si="15"/>
        <v>4.179151402524467E-09</v>
      </c>
      <c r="W106" s="5">
        <v>5.3E-10</v>
      </c>
      <c r="X106" s="5">
        <v>6.17052087143</v>
      </c>
      <c r="Y106" s="5">
        <v>233141.314404361</v>
      </c>
      <c r="Z106">
        <f t="shared" si="16"/>
        <v>-6.797110172497787E-11</v>
      </c>
      <c r="AQ106" s="5">
        <v>3.16E-09</v>
      </c>
      <c r="AR106" s="5">
        <v>1.62662805006</v>
      </c>
      <c r="AS106" s="5">
        <v>250908.490120415</v>
      </c>
      <c r="AT106">
        <f t="shared" si="17"/>
        <v>-2.138562180298304E-09</v>
      </c>
      <c r="BP106" s="5">
        <v>2.863E-08</v>
      </c>
      <c r="BQ106" s="5">
        <v>5.92838131397</v>
      </c>
      <c r="BR106" s="5">
        <v>14712.317116458</v>
      </c>
      <c r="BS106">
        <f t="shared" si="19"/>
        <v>-2.097604433451619E-09</v>
      </c>
      <c r="BU106" s="5">
        <v>1.87E-09</v>
      </c>
      <c r="BV106" s="5">
        <v>2.72805985443</v>
      </c>
      <c r="BW106" s="5">
        <v>6062.6632075526</v>
      </c>
      <c r="BX106">
        <f t="shared" si="20"/>
        <v>-9.998914122953754E-10</v>
      </c>
      <c r="BZ106" s="5">
        <v>2.1E-10</v>
      </c>
      <c r="CA106" s="5">
        <v>4.303630874</v>
      </c>
      <c r="CB106" s="5">
        <v>16858.4825329332</v>
      </c>
      <c r="CC106">
        <f t="shared" si="21"/>
        <v>-1.890875351344421E-10</v>
      </c>
    </row>
    <row r="107" spans="13:81" ht="12.75">
      <c r="M107" s="5">
        <v>8.62E-08</v>
      </c>
      <c r="N107" s="5">
        <v>4.16538210888</v>
      </c>
      <c r="O107" s="5">
        <v>7058.5984613154</v>
      </c>
      <c r="P107">
        <f t="shared" si="14"/>
        <v>-3.243896170741123E-08</v>
      </c>
      <c r="R107" s="5">
        <v>6.85E-09</v>
      </c>
      <c r="S107" s="5">
        <v>0.38876148682</v>
      </c>
      <c r="T107" s="5">
        <v>15.252471185</v>
      </c>
      <c r="U107">
        <f t="shared" si="15"/>
        <v>5.681389112195454E-09</v>
      </c>
      <c r="W107" s="5">
        <v>3.7E-10</v>
      </c>
      <c r="X107" s="5">
        <v>3.12495025087</v>
      </c>
      <c r="Y107" s="5">
        <v>16200.7727245012</v>
      </c>
      <c r="Z107">
        <f t="shared" si="16"/>
        <v>3.6812480482728595E-10</v>
      </c>
      <c r="AQ107" s="5">
        <v>2.16E-09</v>
      </c>
      <c r="AR107" s="5">
        <v>3.68721275185</v>
      </c>
      <c r="AS107" s="5">
        <v>5849.3641121146</v>
      </c>
      <c r="AT107">
        <f t="shared" si="17"/>
        <v>2.0974611742713286E-09</v>
      </c>
      <c r="BP107" s="5">
        <v>3.071E-08</v>
      </c>
      <c r="BQ107" s="5">
        <v>0.23793217002</v>
      </c>
      <c r="BR107" s="5">
        <v>35371.8872659764</v>
      </c>
      <c r="BS107">
        <f t="shared" si="19"/>
        <v>-1.5479225713855944E-08</v>
      </c>
      <c r="BU107" s="5">
        <v>1.84E-09</v>
      </c>
      <c r="BV107" s="5">
        <v>6.04216273598</v>
      </c>
      <c r="BW107" s="5">
        <v>6283.0085396886</v>
      </c>
      <c r="BX107">
        <f t="shared" si="20"/>
        <v>-9.494754132470385E-10</v>
      </c>
      <c r="BZ107" s="5">
        <v>2.1E-10</v>
      </c>
      <c r="CA107" s="5">
        <v>0.49258939822</v>
      </c>
      <c r="CB107" s="5">
        <v>29088.811415985</v>
      </c>
      <c r="CC107">
        <f t="shared" si="21"/>
        <v>2.0999985212385713E-10</v>
      </c>
    </row>
    <row r="108" spans="13:81" ht="12.75">
      <c r="M108" s="5">
        <v>6.297E-08</v>
      </c>
      <c r="N108" s="5">
        <v>4.71724819317</v>
      </c>
      <c r="O108" s="5">
        <v>6836.6452528338</v>
      </c>
      <c r="P108">
        <f t="shared" si="14"/>
        <v>-2.094058497591904E-08</v>
      </c>
      <c r="R108" s="5">
        <v>6.01E-09</v>
      </c>
      <c r="S108" s="5">
        <v>0.73489602442</v>
      </c>
      <c r="T108" s="5">
        <v>419.4846438752</v>
      </c>
      <c r="U108">
        <f t="shared" si="15"/>
        <v>5.9983291796528236E-09</v>
      </c>
      <c r="W108" s="5">
        <v>3.5E-10</v>
      </c>
      <c r="X108" s="5">
        <v>5.76973458495</v>
      </c>
      <c r="Y108" s="5">
        <v>12569.6748183318</v>
      </c>
      <c r="Z108">
        <f t="shared" si="16"/>
        <v>-1.5816225453432988E-10</v>
      </c>
      <c r="AQ108" s="5">
        <v>2.3E-09</v>
      </c>
      <c r="AR108" s="5">
        <v>0.36165162947</v>
      </c>
      <c r="AS108" s="5">
        <v>5863.5912061162</v>
      </c>
      <c r="AT108">
        <f t="shared" si="17"/>
        <v>-2.229891033553755E-09</v>
      </c>
      <c r="BP108" s="5">
        <v>2.656E-08</v>
      </c>
      <c r="BQ108" s="5">
        <v>0.8995930178</v>
      </c>
      <c r="BR108" s="5">
        <v>12352.8526045448</v>
      </c>
      <c r="BS108">
        <f t="shared" si="19"/>
        <v>-2.4615280216460668E-08</v>
      </c>
      <c r="BU108" s="5">
        <v>2.3E-09</v>
      </c>
      <c r="BV108" s="5">
        <v>3.62591335086</v>
      </c>
      <c r="BW108" s="5">
        <v>6284.0561710596</v>
      </c>
      <c r="BX108">
        <f t="shared" si="20"/>
        <v>2.2044576102914802E-09</v>
      </c>
      <c r="BZ108" s="5">
        <v>2.5E-10</v>
      </c>
      <c r="CA108" s="5">
        <v>1.33030250444</v>
      </c>
      <c r="CB108" s="5">
        <v>6282.0955289232</v>
      </c>
      <c r="CC108">
        <f t="shared" si="21"/>
        <v>-2.15636736045764E-10</v>
      </c>
    </row>
    <row r="109" spans="13:81" ht="12.75">
      <c r="M109" s="5">
        <v>7.575E-08</v>
      </c>
      <c r="N109" s="5">
        <v>3.97382858911</v>
      </c>
      <c r="O109" s="5">
        <v>11499.6562227928</v>
      </c>
      <c r="P109">
        <f t="shared" si="14"/>
        <v>5.781765242044054E-08</v>
      </c>
      <c r="R109" s="5">
        <v>7.16E-09</v>
      </c>
      <c r="S109" s="5">
        <v>2.65279791438</v>
      </c>
      <c r="T109" s="5">
        <v>6309.3741697912</v>
      </c>
      <c r="U109">
        <f t="shared" si="15"/>
        <v>4.31639260682928E-09</v>
      </c>
      <c r="W109" s="5">
        <v>3.7E-10</v>
      </c>
      <c r="X109" s="5">
        <v>0.31656444326</v>
      </c>
      <c r="Y109" s="5">
        <v>24356.7807886416</v>
      </c>
      <c r="Z109">
        <f t="shared" si="16"/>
        <v>2.9756716734963716E-10</v>
      </c>
      <c r="AQ109" s="5">
        <v>2.33E-09</v>
      </c>
      <c r="AR109" s="5">
        <v>5.03509933858</v>
      </c>
      <c r="AS109" s="5">
        <v>20426.571092422</v>
      </c>
      <c r="AT109">
        <f t="shared" si="17"/>
        <v>-4.86034962656975E-10</v>
      </c>
      <c r="BP109" s="5">
        <v>2.415E-08</v>
      </c>
      <c r="BQ109" s="5">
        <v>2.79975176257</v>
      </c>
      <c r="BR109" s="5">
        <v>709.9330485583</v>
      </c>
      <c r="BS109">
        <f t="shared" si="19"/>
        <v>2.3267040149687132E-08</v>
      </c>
      <c r="BU109" s="5">
        <v>1.63E-09</v>
      </c>
      <c r="BV109" s="5">
        <v>2.19117396803</v>
      </c>
      <c r="BW109" s="5">
        <v>18073.7049386502</v>
      </c>
      <c r="BX109">
        <f t="shared" si="20"/>
        <v>7.149782126029286E-10</v>
      </c>
      <c r="BZ109" s="5">
        <v>2.7E-10</v>
      </c>
      <c r="CA109" s="5">
        <v>2.54785812264</v>
      </c>
      <c r="CB109" s="5">
        <v>3496.032826134</v>
      </c>
      <c r="CC109">
        <f t="shared" si="21"/>
        <v>1.5527435984503728E-10</v>
      </c>
    </row>
    <row r="110" spans="13:81" ht="12.75">
      <c r="M110" s="5">
        <v>7.756E-08</v>
      </c>
      <c r="N110" s="5">
        <v>2.95729056763</v>
      </c>
      <c r="O110" s="5">
        <v>23013.5395395872</v>
      </c>
      <c r="P110">
        <f t="shared" si="14"/>
        <v>-7.507908232288848E-08</v>
      </c>
      <c r="R110" s="5">
        <v>5.84E-09</v>
      </c>
      <c r="S110" s="5">
        <v>5.54502568227</v>
      </c>
      <c r="T110" s="5">
        <v>17298.1823273262</v>
      </c>
      <c r="U110">
        <f t="shared" si="15"/>
        <v>-1.6224433546192254E-09</v>
      </c>
      <c r="W110" s="5">
        <v>3.5E-10</v>
      </c>
      <c r="X110" s="5">
        <v>0.96229051027</v>
      </c>
      <c r="Y110" s="5">
        <v>17298.1823273262</v>
      </c>
      <c r="Z110">
        <f t="shared" si="16"/>
        <v>3.4597169365835487E-10</v>
      </c>
      <c r="AQ110" s="5">
        <v>2E-09</v>
      </c>
      <c r="AR110" s="5">
        <v>5.86073159059</v>
      </c>
      <c r="AS110" s="5">
        <v>4535.0594369244</v>
      </c>
      <c r="AT110">
        <f t="shared" si="17"/>
        <v>-1.7114562165619771E-09</v>
      </c>
      <c r="BP110" s="5">
        <v>2.814E-08</v>
      </c>
      <c r="BQ110" s="5">
        <v>3.51488206882</v>
      </c>
      <c r="BR110" s="5">
        <v>21228.3920235458</v>
      </c>
      <c r="BS110">
        <f t="shared" si="19"/>
        <v>-2.9475122334205876E-10</v>
      </c>
      <c r="BU110" s="5">
        <v>1.72E-09</v>
      </c>
      <c r="BV110" s="5">
        <v>0.9761295074</v>
      </c>
      <c r="BW110" s="5">
        <v>3930.2096962196</v>
      </c>
      <c r="BX110">
        <f t="shared" si="20"/>
        <v>-1.7041819358682735E-09</v>
      </c>
      <c r="BZ110" s="5">
        <v>2.2E-10</v>
      </c>
      <c r="CA110" s="5">
        <v>1.1123252195</v>
      </c>
      <c r="CB110" s="5">
        <v>12721.572099417</v>
      </c>
      <c r="CC110">
        <f t="shared" si="21"/>
        <v>-1.0320510350219854E-11</v>
      </c>
    </row>
    <row r="111" spans="13:81" ht="12.75">
      <c r="M111" s="5">
        <v>7.314E-08</v>
      </c>
      <c r="N111" s="5">
        <v>0.60652505806</v>
      </c>
      <c r="O111" s="5">
        <v>11513.8833167944</v>
      </c>
      <c r="P111">
        <f t="shared" si="14"/>
        <v>-5.7464041674192394E-08</v>
      </c>
      <c r="R111" s="5">
        <v>6.5E-09</v>
      </c>
      <c r="S111" s="5">
        <v>1.13379656406</v>
      </c>
      <c r="T111" s="5">
        <v>7058.5984613154</v>
      </c>
      <c r="U111">
        <f t="shared" si="15"/>
        <v>1.7701605298145007E-09</v>
      </c>
      <c r="W111" s="5">
        <v>3.3E-10</v>
      </c>
      <c r="X111" s="5">
        <v>5.23130355867</v>
      </c>
      <c r="Y111" s="5">
        <v>5331.3574437408</v>
      </c>
      <c r="Z111">
        <f t="shared" si="16"/>
        <v>1.3776320371204668E-10</v>
      </c>
      <c r="AQ111" s="5">
        <v>2.77E-09</v>
      </c>
      <c r="AR111" s="5">
        <v>4.65400292395</v>
      </c>
      <c r="AS111" s="5">
        <v>82239.1669577988</v>
      </c>
      <c r="AT111">
        <f t="shared" si="17"/>
        <v>9.119337435905303E-10</v>
      </c>
      <c r="BP111" s="5">
        <v>1.977E-08</v>
      </c>
      <c r="BQ111" s="5">
        <v>2.6135829755</v>
      </c>
      <c r="BR111" s="5">
        <v>951.7184062506</v>
      </c>
      <c r="BS111">
        <f t="shared" si="19"/>
        <v>-1.8466790638663535E-08</v>
      </c>
      <c r="BU111" s="5">
        <v>2.15E-09</v>
      </c>
      <c r="BV111" s="5">
        <v>1.04672844028</v>
      </c>
      <c r="BW111" s="5">
        <v>3496.032826134</v>
      </c>
      <c r="BX111">
        <f t="shared" si="20"/>
        <v>-1.6685576268187073E-09</v>
      </c>
      <c r="BZ111" s="5">
        <v>2.1E-10</v>
      </c>
      <c r="CA111" s="5">
        <v>5.97759081637</v>
      </c>
      <c r="CB111" s="5">
        <v>7.1135470008</v>
      </c>
      <c r="CC111">
        <f t="shared" si="21"/>
        <v>2.0536674598432667E-10</v>
      </c>
    </row>
    <row r="112" spans="13:81" ht="12.75">
      <c r="M112" s="5">
        <v>5.955E-08</v>
      </c>
      <c r="N112" s="5">
        <v>2.87641047971</v>
      </c>
      <c r="O112" s="5">
        <v>6283.14316029419</v>
      </c>
      <c r="P112">
        <f t="shared" si="14"/>
        <v>2.958084409569243E-08</v>
      </c>
      <c r="R112" s="5">
        <v>6.88E-09</v>
      </c>
      <c r="S112" s="5">
        <v>2.59683891779</v>
      </c>
      <c r="T112" s="5">
        <v>3496.032826134</v>
      </c>
      <c r="U112">
        <f t="shared" si="15"/>
        <v>4.227451657139686E-09</v>
      </c>
      <c r="W112" s="5">
        <v>3.5E-10</v>
      </c>
      <c r="X112" s="5">
        <v>0.62517020593</v>
      </c>
      <c r="Y112" s="5">
        <v>25158.6017197654</v>
      </c>
      <c r="Z112">
        <f t="shared" si="16"/>
        <v>-1.97335337792249E-10</v>
      </c>
      <c r="AQ112" s="5">
        <v>2.09E-09</v>
      </c>
      <c r="AR112" s="5">
        <v>3.72323200804</v>
      </c>
      <c r="AS112" s="5">
        <v>10973.55568635</v>
      </c>
      <c r="AT112">
        <f t="shared" si="17"/>
        <v>1.9956727018329347E-09</v>
      </c>
      <c r="BP112" s="5">
        <v>2.548E-08</v>
      </c>
      <c r="BQ112" s="5">
        <v>2.47684686575</v>
      </c>
      <c r="BR112" s="5">
        <v>6208.2942514241</v>
      </c>
      <c r="BS112">
        <f t="shared" si="19"/>
        <v>-1.965192544306478E-08</v>
      </c>
      <c r="BU112" s="5">
        <v>1.69E-09</v>
      </c>
      <c r="BV112" s="5">
        <v>4.75084479006</v>
      </c>
      <c r="BW112" s="5">
        <v>17267.2682016911</v>
      </c>
      <c r="BX112">
        <f t="shared" si="20"/>
        <v>-1.6843740756414406E-09</v>
      </c>
      <c r="BZ112" s="5">
        <v>1.9E-10</v>
      </c>
      <c r="CA112" s="5">
        <v>0.80292033311</v>
      </c>
      <c r="CB112" s="5">
        <v>16062.1845261168</v>
      </c>
      <c r="CC112">
        <f t="shared" si="21"/>
        <v>-8.024309935740821E-11</v>
      </c>
    </row>
    <row r="113" spans="13:81" ht="12.75">
      <c r="M113" s="5">
        <v>6.534E-08</v>
      </c>
      <c r="N113" s="5">
        <v>5.79072926033</v>
      </c>
      <c r="O113" s="5">
        <v>18073.7049386502</v>
      </c>
      <c r="P113">
        <f t="shared" si="14"/>
        <v>-5.1668034836695526E-08</v>
      </c>
      <c r="R113" s="5">
        <v>4.85E-09</v>
      </c>
      <c r="S113" s="5">
        <v>0.44467180946</v>
      </c>
      <c r="T113" s="5">
        <v>12352.8526045448</v>
      </c>
      <c r="U113">
        <f t="shared" si="15"/>
        <v>-3.2373032534338742E-09</v>
      </c>
      <c r="W113" s="5">
        <v>3.5E-10</v>
      </c>
      <c r="X113" s="5">
        <v>0.80004512129</v>
      </c>
      <c r="Y113" s="5">
        <v>13916.0191096416</v>
      </c>
      <c r="Z113">
        <f t="shared" si="16"/>
        <v>8.57272336336721E-13</v>
      </c>
      <c r="AQ113" s="5">
        <v>1.99E-09</v>
      </c>
      <c r="AR113" s="5">
        <v>5.05186622555</v>
      </c>
      <c r="AS113" s="5">
        <v>5429.8794682394</v>
      </c>
      <c r="AT113">
        <f t="shared" si="17"/>
        <v>-1.2935910926047514E-09</v>
      </c>
      <c r="BP113" s="5">
        <v>1.999E-08</v>
      </c>
      <c r="BQ113" s="5">
        <v>0.5609038816</v>
      </c>
      <c r="BR113" s="5">
        <v>7079.3738568078</v>
      </c>
      <c r="BS113">
        <f t="shared" si="19"/>
        <v>1.0801333391693814E-08</v>
      </c>
      <c r="BU113" s="5">
        <v>1.52E-09</v>
      </c>
      <c r="BV113" s="5">
        <v>0.19390712179</v>
      </c>
      <c r="BW113" s="5">
        <v>9779.1086761254</v>
      </c>
      <c r="BX113">
        <f t="shared" si="20"/>
        <v>8.753370819581114E-10</v>
      </c>
      <c r="BZ113" s="5">
        <v>2.3E-10</v>
      </c>
      <c r="CA113" s="5">
        <v>4.12454848769</v>
      </c>
      <c r="CB113" s="5">
        <v>2388.8940204492</v>
      </c>
      <c r="CC113">
        <f t="shared" si="21"/>
        <v>-1.2009473987300056E-11</v>
      </c>
    </row>
    <row r="114" spans="13:81" ht="12.75">
      <c r="M114" s="5">
        <v>7.188E-08</v>
      </c>
      <c r="N114" s="5">
        <v>3.99831508699</v>
      </c>
      <c r="O114" s="5">
        <v>74.7815985673</v>
      </c>
      <c r="P114">
        <f t="shared" si="14"/>
        <v>2.0287684252605492E-08</v>
      </c>
      <c r="R114" s="5">
        <v>5.28E-09</v>
      </c>
      <c r="S114" s="5">
        <v>2.74936967681</v>
      </c>
      <c r="T114" s="5">
        <v>3930.2096962196</v>
      </c>
      <c r="U114">
        <f t="shared" si="15"/>
        <v>1.7516954017917382E-09</v>
      </c>
      <c r="W114" s="5">
        <v>3.7E-10</v>
      </c>
      <c r="X114" s="5">
        <v>2.89336088688</v>
      </c>
      <c r="Y114" s="5">
        <v>12721.572099417</v>
      </c>
      <c r="Z114">
        <f t="shared" si="16"/>
        <v>-3.5783223936297114E-10</v>
      </c>
      <c r="AQ114" s="5">
        <v>2.56E-09</v>
      </c>
      <c r="AR114" s="5">
        <v>2.4092327977</v>
      </c>
      <c r="AS114" s="5">
        <v>19651.048481098</v>
      </c>
      <c r="AT114">
        <f t="shared" si="17"/>
        <v>5.636430084850872E-10</v>
      </c>
      <c r="BP114" s="5">
        <v>2.305E-08</v>
      </c>
      <c r="BQ114" s="5">
        <v>1.05376461628</v>
      </c>
      <c r="BR114" s="5">
        <v>22483.8485744925</v>
      </c>
      <c r="BS114">
        <f t="shared" si="19"/>
        <v>2.266507553931774E-08</v>
      </c>
      <c r="BU114" s="5">
        <v>1.82E-09</v>
      </c>
      <c r="BV114" s="5">
        <v>5.16288118255</v>
      </c>
      <c r="BW114" s="5">
        <v>17253.0411076895</v>
      </c>
      <c r="BX114">
        <f t="shared" si="20"/>
        <v>-1.7368915247845882E-09</v>
      </c>
      <c r="BZ114" s="5">
        <v>2.2E-10</v>
      </c>
      <c r="CA114" s="5">
        <v>4.92663152168</v>
      </c>
      <c r="CB114" s="5">
        <v>18875.525869774</v>
      </c>
      <c r="CC114">
        <f t="shared" si="21"/>
        <v>2.145403016211336E-10</v>
      </c>
    </row>
    <row r="115" spans="13:81" ht="12.75">
      <c r="M115" s="5">
        <v>7.346E-08</v>
      </c>
      <c r="N115" s="5">
        <v>4.38582365437</v>
      </c>
      <c r="O115" s="5">
        <v>316.3918696566</v>
      </c>
      <c r="P115">
        <f t="shared" si="14"/>
        <v>-5.079913733682204E-08</v>
      </c>
      <c r="R115" s="5">
        <v>5.97E-09</v>
      </c>
      <c r="S115" s="5">
        <v>5.27668281777</v>
      </c>
      <c r="T115" s="5">
        <v>10575.4066829418</v>
      </c>
      <c r="U115">
        <f t="shared" si="15"/>
        <v>-3.560473912591838E-09</v>
      </c>
      <c r="W115" s="5">
        <v>3E-10</v>
      </c>
      <c r="X115" s="5">
        <v>4.50198402401</v>
      </c>
      <c r="Y115" s="5">
        <v>23543.2305046817</v>
      </c>
      <c r="Z115">
        <f t="shared" si="16"/>
        <v>1.4951523335894383E-10</v>
      </c>
      <c r="AQ115" s="5">
        <v>2.1E-09</v>
      </c>
      <c r="AR115" s="5">
        <v>4.50691909144</v>
      </c>
      <c r="AS115" s="5">
        <v>29088.811415985</v>
      </c>
      <c r="AT115">
        <f t="shared" si="17"/>
        <v>-1.3516457462518123E-09</v>
      </c>
      <c r="BP115" s="5">
        <v>1.855E-08</v>
      </c>
      <c r="BQ115" s="5">
        <v>2.86090681163</v>
      </c>
      <c r="BR115" s="5">
        <v>5216.5803728014</v>
      </c>
      <c r="BS115">
        <f t="shared" si="19"/>
        <v>-1.725280163367252E-08</v>
      </c>
      <c r="BU115" s="5">
        <v>1.49E-09</v>
      </c>
      <c r="BV115" s="5">
        <v>0.8094418426</v>
      </c>
      <c r="BW115" s="5">
        <v>709.9330485583</v>
      </c>
      <c r="BX115">
        <f t="shared" si="20"/>
        <v>-9.493099564254258E-10</v>
      </c>
      <c r="BZ115" s="5">
        <v>2.3E-10</v>
      </c>
      <c r="CA115" s="5">
        <v>5.68902059771</v>
      </c>
      <c r="CB115" s="5">
        <v>16460.3335295249</v>
      </c>
      <c r="CC115">
        <f t="shared" si="21"/>
        <v>2.161971189660067E-10</v>
      </c>
    </row>
    <row r="116" spans="13:81" ht="12.75">
      <c r="M116" s="5">
        <v>5.413E-08</v>
      </c>
      <c r="N116" s="5">
        <v>5.39199024641</v>
      </c>
      <c r="O116" s="5">
        <v>419.4846438752</v>
      </c>
      <c r="P116">
        <f t="shared" si="14"/>
        <v>3.808271620559386E-10</v>
      </c>
      <c r="R116" s="5">
        <v>5.83E-09</v>
      </c>
      <c r="S116" s="5">
        <v>3.1892906781</v>
      </c>
      <c r="T116" s="5">
        <v>4732.0306273434</v>
      </c>
      <c r="U116">
        <f t="shared" si="15"/>
        <v>-5.096914325639705E-09</v>
      </c>
      <c r="W116" s="5">
        <v>3E-10</v>
      </c>
      <c r="X116" s="5">
        <v>5.31355708693</v>
      </c>
      <c r="Y116" s="5">
        <v>18319.5365848796</v>
      </c>
      <c r="Z116">
        <f t="shared" si="16"/>
        <v>1.6472942609488374E-10</v>
      </c>
      <c r="AQ116" s="5">
        <v>1.81E-09</v>
      </c>
      <c r="AR116" s="5">
        <v>6.00294783127</v>
      </c>
      <c r="AS116" s="5">
        <v>4292.3308329504</v>
      </c>
      <c r="AT116">
        <f t="shared" si="17"/>
        <v>1.5128590779752272E-09</v>
      </c>
      <c r="BP116" s="5">
        <v>2.157E-08</v>
      </c>
      <c r="BQ116" s="5">
        <v>1.31396741861</v>
      </c>
      <c r="BR116" s="5">
        <v>154717.609887682</v>
      </c>
      <c r="BS116">
        <f t="shared" si="19"/>
        <v>-2.020987642925007E-08</v>
      </c>
      <c r="BU116" s="5">
        <v>1.63E-09</v>
      </c>
      <c r="BV116" s="5">
        <v>2.1920957039</v>
      </c>
      <c r="BW116" s="5">
        <v>6076.8903015542</v>
      </c>
      <c r="BX116">
        <f t="shared" si="20"/>
        <v>-3.532926095925511E-10</v>
      </c>
      <c r="BZ116" s="5">
        <v>2.3E-10</v>
      </c>
      <c r="CA116" s="5">
        <v>4.97346265647</v>
      </c>
      <c r="CB116" s="5">
        <v>17260.1546546904</v>
      </c>
      <c r="CC116">
        <f t="shared" si="21"/>
        <v>-2.249905254359847E-10</v>
      </c>
    </row>
    <row r="117" spans="13:81" ht="12.75">
      <c r="M117" s="5">
        <v>5.127E-08</v>
      </c>
      <c r="N117" s="5">
        <v>2.36062848786</v>
      </c>
      <c r="O117" s="5">
        <v>10973.55568635</v>
      </c>
      <c r="P117">
        <f t="shared" si="14"/>
        <v>-4.781186052011093E-09</v>
      </c>
      <c r="R117" s="5">
        <v>5.26E-09</v>
      </c>
      <c r="S117" s="5">
        <v>5.01697321546</v>
      </c>
      <c r="T117" s="5">
        <v>5884.9268465832</v>
      </c>
      <c r="U117">
        <f t="shared" si="15"/>
        <v>-2.4095216150406704E-09</v>
      </c>
      <c r="W117" s="5">
        <v>2.9E-10</v>
      </c>
      <c r="X117" s="5">
        <v>3.47275229977</v>
      </c>
      <c r="Y117" s="5">
        <v>13119.7211028251</v>
      </c>
      <c r="Z117">
        <f t="shared" si="16"/>
        <v>-2.8786662954637523E-10</v>
      </c>
      <c r="AQ117" s="5">
        <v>2.49E-09</v>
      </c>
      <c r="AR117" s="5">
        <v>0.12900984422</v>
      </c>
      <c r="AS117" s="5">
        <v>154379.795624486</v>
      </c>
      <c r="AT117">
        <f t="shared" si="17"/>
        <v>-1.474661687669862E-09</v>
      </c>
      <c r="BP117" s="5">
        <v>1.97E-08</v>
      </c>
      <c r="BQ117" s="5">
        <v>4.36929875289</v>
      </c>
      <c r="BR117" s="5">
        <v>167283.761587665</v>
      </c>
      <c r="BS117">
        <f t="shared" si="19"/>
        <v>5.220399027693284E-09</v>
      </c>
      <c r="BU117" s="5">
        <v>1.86E-09</v>
      </c>
      <c r="BV117" s="5">
        <v>5.01159497089</v>
      </c>
      <c r="BW117" s="5">
        <v>11015.1064773348</v>
      </c>
      <c r="BX117">
        <f t="shared" si="20"/>
        <v>5.258235920313694E-11</v>
      </c>
      <c r="BZ117" s="5">
        <v>2.3E-10</v>
      </c>
      <c r="CA117" s="5">
        <v>3.03021283729</v>
      </c>
      <c r="CB117" s="5">
        <v>66567.4858652542</v>
      </c>
      <c r="CC117">
        <f t="shared" si="21"/>
        <v>9.184994418695462E-11</v>
      </c>
    </row>
    <row r="118" spans="13:81" ht="12.75">
      <c r="M118" s="5">
        <v>7.056E-08</v>
      </c>
      <c r="N118" s="5">
        <v>0.32258441903</v>
      </c>
      <c r="O118" s="5">
        <v>263.0839233728</v>
      </c>
      <c r="P118">
        <f t="shared" si="14"/>
        <v>-5.3978762442466315E-08</v>
      </c>
      <c r="R118" s="5">
        <v>5.4E-09</v>
      </c>
      <c r="S118" s="5">
        <v>1.29175137075</v>
      </c>
      <c r="T118" s="5">
        <v>640.8776073822</v>
      </c>
      <c r="U118">
        <f t="shared" si="15"/>
        <v>-4.888575305552099E-09</v>
      </c>
      <c r="W118" s="5">
        <v>2.9E-10</v>
      </c>
      <c r="X118" s="5">
        <v>3.11002782516</v>
      </c>
      <c r="Y118" s="5">
        <v>4136.9104335162</v>
      </c>
      <c r="Z118">
        <f t="shared" si="16"/>
        <v>-9.17370203301286E-11</v>
      </c>
      <c r="AQ118" s="5">
        <v>2.09E-09</v>
      </c>
      <c r="AR118" s="5">
        <v>3.87759458598</v>
      </c>
      <c r="AS118" s="5">
        <v>17789.845619785</v>
      </c>
      <c r="AT118">
        <f t="shared" si="17"/>
        <v>-2.0823960213064667E-09</v>
      </c>
      <c r="BP118" s="5">
        <v>1.635E-08</v>
      </c>
      <c r="BQ118" s="5">
        <v>5.85571606764</v>
      </c>
      <c r="BR118" s="5">
        <v>10984.1923516998</v>
      </c>
      <c r="BS118">
        <f t="shared" si="19"/>
        <v>-6.402661125559799E-09</v>
      </c>
      <c r="BU118" s="5">
        <v>1.34E-09</v>
      </c>
      <c r="BV118" s="5">
        <v>0.97765485759</v>
      </c>
      <c r="BW118" s="5">
        <v>65147.6197681377</v>
      </c>
      <c r="BX118">
        <f t="shared" si="20"/>
        <v>6.855308054690897E-10</v>
      </c>
      <c r="BZ118" s="5">
        <v>1.6E-10</v>
      </c>
      <c r="CA118" s="5">
        <v>3.89740925257</v>
      </c>
      <c r="CB118" s="5">
        <v>5331.3574437408</v>
      </c>
      <c r="CC118">
        <f t="shared" si="21"/>
        <v>1.5700622811550024E-10</v>
      </c>
    </row>
    <row r="119" spans="13:81" ht="12.75">
      <c r="M119" s="5">
        <v>6.625E-08</v>
      </c>
      <c r="N119" s="5">
        <v>3.66475158672</v>
      </c>
      <c r="O119" s="5">
        <v>17298.1823273262</v>
      </c>
      <c r="P119">
        <f t="shared" si="14"/>
        <v>-5.50130347508956E-08</v>
      </c>
      <c r="R119" s="5">
        <v>4.73E-09</v>
      </c>
      <c r="S119" s="5">
        <v>5.4995330697</v>
      </c>
      <c r="T119" s="5">
        <v>5230.807466803</v>
      </c>
      <c r="U119">
        <f t="shared" si="15"/>
        <v>4.720462748495937E-09</v>
      </c>
      <c r="W119" s="5">
        <v>3.2E-10</v>
      </c>
      <c r="X119" s="5">
        <v>5.52273255667</v>
      </c>
      <c r="Y119" s="5">
        <v>5753.3848848968</v>
      </c>
      <c r="Z119">
        <f t="shared" si="16"/>
        <v>2.2454377856644988E-10</v>
      </c>
      <c r="AQ119" s="5">
        <v>2.25E-09</v>
      </c>
      <c r="AR119" s="5">
        <v>3.18339652605</v>
      </c>
      <c r="AS119" s="5">
        <v>18875.525869774</v>
      </c>
      <c r="AT119">
        <f t="shared" si="17"/>
        <v>-8.672471051502746E-10</v>
      </c>
      <c r="BP119" s="5">
        <v>1.754E-08</v>
      </c>
      <c r="BQ119" s="5">
        <v>2.14452408833</v>
      </c>
      <c r="BR119" s="5">
        <v>6290.1893969922</v>
      </c>
      <c r="BS119">
        <f t="shared" si="19"/>
        <v>-2.061518182256441E-09</v>
      </c>
      <c r="BU119" s="5">
        <v>1.41E-09</v>
      </c>
      <c r="BV119" s="5">
        <v>4.38421981312</v>
      </c>
      <c r="BW119" s="5">
        <v>4136.9104335162</v>
      </c>
      <c r="BX119">
        <f t="shared" si="20"/>
        <v>-1.409550229675189E-09</v>
      </c>
      <c r="BZ119" s="5">
        <v>1.7E-10</v>
      </c>
      <c r="CA119" s="5">
        <v>3.08268671348</v>
      </c>
      <c r="CB119" s="5">
        <v>154717.609887682</v>
      </c>
      <c r="CC119">
        <f t="shared" si="21"/>
        <v>8.957158565011394E-11</v>
      </c>
    </row>
    <row r="120" spans="13:81" ht="12.75">
      <c r="M120" s="5">
        <v>6.762E-08</v>
      </c>
      <c r="N120" s="5">
        <v>5.91132535899</v>
      </c>
      <c r="O120" s="5">
        <v>90955.5516944961</v>
      </c>
      <c r="P120">
        <f t="shared" si="14"/>
        <v>-6.316600903542152E-08</v>
      </c>
      <c r="R120" s="5">
        <v>4.06E-09</v>
      </c>
      <c r="S120" s="5">
        <v>5.2124845218899996</v>
      </c>
      <c r="T120" s="5">
        <v>220.4126424388</v>
      </c>
      <c r="U120">
        <f t="shared" si="15"/>
        <v>-1.2251081571077954E-09</v>
      </c>
      <c r="W120" s="5">
        <v>3.5E-10</v>
      </c>
      <c r="X120" s="5">
        <v>3.7969999668</v>
      </c>
      <c r="Y120" s="5">
        <v>143571.324284816</v>
      </c>
      <c r="Z120">
        <f t="shared" si="16"/>
        <v>5.4998419125623444E-11</v>
      </c>
      <c r="AQ120" s="5">
        <v>1.91E-09</v>
      </c>
      <c r="AR120" s="5">
        <v>4.53897489299</v>
      </c>
      <c r="AS120" s="5">
        <v>18477.1087646123</v>
      </c>
      <c r="AT120">
        <f t="shared" si="17"/>
        <v>1.7984604268605812E-09</v>
      </c>
      <c r="BP120" s="5">
        <v>2.154E-08</v>
      </c>
      <c r="BQ120" s="5">
        <v>6.03828341543</v>
      </c>
      <c r="BR120" s="5">
        <v>10873.9860304804</v>
      </c>
      <c r="BS120">
        <f t="shared" si="19"/>
        <v>1.6725585135164568E-08</v>
      </c>
      <c r="BU120" s="5">
        <v>1.58E-09</v>
      </c>
      <c r="BV120" s="5">
        <v>4.60974280627</v>
      </c>
      <c r="BW120" s="5">
        <v>9623.6882766912</v>
      </c>
      <c r="BX120">
        <f t="shared" si="20"/>
        <v>2.996842497155183E-10</v>
      </c>
      <c r="BZ120" s="5">
        <v>1.6E-10</v>
      </c>
      <c r="CA120" s="5">
        <v>3.95085099736</v>
      </c>
      <c r="CB120" s="5">
        <v>3097.88382272579</v>
      </c>
      <c r="CC120">
        <f t="shared" si="21"/>
        <v>2.674659502490688E-11</v>
      </c>
    </row>
    <row r="121" spans="13:81" ht="12.75">
      <c r="M121" s="5">
        <v>4.938E-08</v>
      </c>
      <c r="N121" s="5">
        <v>5.73672165674</v>
      </c>
      <c r="O121" s="5">
        <v>9917.6968745098</v>
      </c>
      <c r="P121">
        <f t="shared" si="14"/>
        <v>4.877933410367895E-08</v>
      </c>
      <c r="R121" s="5">
        <v>3.95E-09</v>
      </c>
      <c r="S121" s="5">
        <v>1.87474483222</v>
      </c>
      <c r="T121" s="5">
        <v>16200.7727245012</v>
      </c>
      <c r="U121">
        <f t="shared" si="15"/>
        <v>8.615046895273024E-10</v>
      </c>
      <c r="W121" s="5">
        <v>2.6E-10</v>
      </c>
      <c r="X121" s="5">
        <v>1.50634201907</v>
      </c>
      <c r="Y121" s="5">
        <v>154717.609887682</v>
      </c>
      <c r="Z121">
        <f t="shared" si="16"/>
        <v>-2.217391108908291E-10</v>
      </c>
      <c r="AQ121" s="5">
        <v>1.72E-09</v>
      </c>
      <c r="AR121" s="5">
        <v>2.09694183014</v>
      </c>
      <c r="AS121" s="5">
        <v>13095.8426650774</v>
      </c>
      <c r="AT121">
        <f t="shared" si="17"/>
        <v>4.184652199983163E-10</v>
      </c>
      <c r="BP121" s="5">
        <v>1.714E-08</v>
      </c>
      <c r="BQ121" s="5">
        <v>3.70157691113</v>
      </c>
      <c r="BR121" s="5">
        <v>1592.5960136328</v>
      </c>
      <c r="BS121">
        <f t="shared" si="19"/>
        <v>1.6995047301765585E-08</v>
      </c>
      <c r="BU121" s="5">
        <v>1.33E-09</v>
      </c>
      <c r="BV121" s="5">
        <v>3.30508592837</v>
      </c>
      <c r="BW121" s="5">
        <v>154717.609887682</v>
      </c>
      <c r="BX121">
        <f t="shared" si="20"/>
        <v>9.3284181014173E-10</v>
      </c>
      <c r="BZ121" s="5">
        <v>1.6E-10</v>
      </c>
      <c r="CA121" s="5">
        <v>3.99041783945</v>
      </c>
      <c r="CB121" s="5">
        <v>6283.14316029419</v>
      </c>
      <c r="CC121">
        <f t="shared" si="21"/>
        <v>1.5968209006677073E-10</v>
      </c>
    </row>
    <row r="122" spans="13:81" ht="12.75">
      <c r="M122" s="5">
        <v>5.547E-08</v>
      </c>
      <c r="N122" s="5">
        <v>2.45152597661</v>
      </c>
      <c r="O122" s="5">
        <v>12352.8526045448</v>
      </c>
      <c r="P122">
        <f t="shared" si="14"/>
        <v>-2.1800743894858693E-08</v>
      </c>
      <c r="R122" s="5">
        <v>3.7E-09</v>
      </c>
      <c r="S122" s="5">
        <v>3.84921354713</v>
      </c>
      <c r="T122" s="5">
        <v>18073.7049386502</v>
      </c>
      <c r="U122">
        <f t="shared" si="15"/>
        <v>3.1709995441181935E-09</v>
      </c>
      <c r="W122" s="5">
        <v>3E-10</v>
      </c>
      <c r="X122" s="5">
        <v>3.53519084118</v>
      </c>
      <c r="Y122" s="5">
        <v>6284.0561710596</v>
      </c>
      <c r="Z122">
        <f t="shared" si="16"/>
        <v>2.786031363139261E-10</v>
      </c>
      <c r="AQ122" s="5">
        <v>1.82E-09</v>
      </c>
      <c r="AR122" s="5">
        <v>3.161079435</v>
      </c>
      <c r="AS122" s="5">
        <v>16730.4636895958</v>
      </c>
      <c r="AT122">
        <f t="shared" si="17"/>
        <v>1.3478657021292794E-09</v>
      </c>
      <c r="BP122" s="5">
        <v>1.541E-08</v>
      </c>
      <c r="BQ122" s="5">
        <v>6.21598380732</v>
      </c>
      <c r="BR122" s="5">
        <v>23543.2305046817</v>
      </c>
      <c r="BS122">
        <f t="shared" si="19"/>
        <v>1.2126983202022445E-08</v>
      </c>
      <c r="BU122" s="5">
        <v>1.63E-09</v>
      </c>
      <c r="BV122" s="5">
        <v>6.11782626245</v>
      </c>
      <c r="BW122" s="5">
        <v>3.523118349</v>
      </c>
      <c r="BX122">
        <f t="shared" si="20"/>
        <v>1.6186195323676766E-09</v>
      </c>
      <c r="BZ122" s="5">
        <v>2E-10</v>
      </c>
      <c r="CA122" s="5">
        <v>6.10644140189</v>
      </c>
      <c r="CB122" s="5">
        <v>167283.761587665</v>
      </c>
      <c r="CC122">
        <f t="shared" si="21"/>
        <v>1.8141234400939549E-10</v>
      </c>
    </row>
    <row r="123" spans="13:81" ht="12.75">
      <c r="M123" s="5">
        <v>5.958E-08</v>
      </c>
      <c r="N123" s="5">
        <v>3.32051344676</v>
      </c>
      <c r="O123" s="5">
        <v>6283.0085396886</v>
      </c>
      <c r="P123">
        <f t="shared" si="14"/>
        <v>4.888046313925152E-08</v>
      </c>
      <c r="R123" s="5">
        <v>3.67E-09</v>
      </c>
      <c r="S123" s="5">
        <v>0.88533542778</v>
      </c>
      <c r="T123" s="5">
        <v>6283.14316029419</v>
      </c>
      <c r="U123">
        <f t="shared" si="15"/>
        <v>-3.6518263788599493E-09</v>
      </c>
      <c r="W123" s="5">
        <v>2.3E-10</v>
      </c>
      <c r="X123" s="5">
        <v>4.41808025967</v>
      </c>
      <c r="Y123" s="5">
        <v>5884.9268465832</v>
      </c>
      <c r="Z123">
        <f t="shared" si="16"/>
        <v>2.8231151136089342E-11</v>
      </c>
      <c r="AQ123" s="5">
        <v>1.88E-09</v>
      </c>
      <c r="AR123" s="5">
        <v>2.22746128596</v>
      </c>
      <c r="AS123" s="5">
        <v>41654.9631159678</v>
      </c>
      <c r="AT123">
        <f t="shared" si="17"/>
        <v>1.8558876142902688E-09</v>
      </c>
      <c r="BP123" s="5">
        <v>1.611E-08</v>
      </c>
      <c r="BQ123" s="5">
        <v>1.99824499377</v>
      </c>
      <c r="BR123" s="5">
        <v>10969.9652576982</v>
      </c>
      <c r="BS123">
        <f t="shared" si="19"/>
        <v>-7.777161514906123E-09</v>
      </c>
      <c r="BU123" s="5">
        <v>1.74E-09</v>
      </c>
      <c r="BV123" s="5">
        <v>1.58078542187</v>
      </c>
      <c r="BW123" s="5">
        <v>7.1135470008</v>
      </c>
      <c r="BX123">
        <f t="shared" si="20"/>
        <v>-1.8259461168973204E-10</v>
      </c>
      <c r="BZ123" s="5">
        <v>1.5E-10</v>
      </c>
      <c r="CA123" s="5">
        <v>4.09775914607</v>
      </c>
      <c r="CB123" s="5">
        <v>11712.9553182308</v>
      </c>
      <c r="CC123">
        <f t="shared" si="21"/>
        <v>-1.2883659800606978E-10</v>
      </c>
    </row>
    <row r="124" spans="13:81" ht="12.75">
      <c r="M124" s="5">
        <v>4.471E-08</v>
      </c>
      <c r="N124" s="5">
        <v>2.06385999536</v>
      </c>
      <c r="O124" s="5">
        <v>7079.3738568078</v>
      </c>
      <c r="P124">
        <f t="shared" si="14"/>
        <v>-3.589697943382346E-08</v>
      </c>
      <c r="R124" s="5">
        <v>3.79E-09</v>
      </c>
      <c r="S124" s="5">
        <v>0.37983009325</v>
      </c>
      <c r="T124" s="5">
        <v>10177.2576795336</v>
      </c>
      <c r="U124">
        <f t="shared" si="15"/>
        <v>-5.975588837842317E-10</v>
      </c>
      <c r="W124" s="5">
        <v>2.5E-10</v>
      </c>
      <c r="X124" s="5">
        <v>1.38477355808</v>
      </c>
      <c r="Y124" s="5">
        <v>65147.6197681377</v>
      </c>
      <c r="Z124">
        <f t="shared" si="16"/>
        <v>2.025001512270607E-10</v>
      </c>
      <c r="AQ124" s="5">
        <v>1.64E-09</v>
      </c>
      <c r="AR124" s="5">
        <v>5.18686275017</v>
      </c>
      <c r="AS124" s="5">
        <v>5481.2549188676</v>
      </c>
      <c r="AT124">
        <f t="shared" si="17"/>
        <v>-1.6386213054026248E-09</v>
      </c>
      <c r="BP124" s="5">
        <v>1.712E-08</v>
      </c>
      <c r="BQ124" s="5">
        <v>1.34295663542</v>
      </c>
      <c r="BR124" s="5">
        <v>3128.3887650958</v>
      </c>
      <c r="BS124">
        <f t="shared" si="19"/>
        <v>1.1963817470608715E-08</v>
      </c>
      <c r="BU124" s="5">
        <v>1.41E-09</v>
      </c>
      <c r="BV124" s="5">
        <v>0.49976927274</v>
      </c>
      <c r="BW124" s="5">
        <v>25158.6017197654</v>
      </c>
      <c r="BX124">
        <f t="shared" si="20"/>
        <v>-9.343865090268897E-10</v>
      </c>
      <c r="BZ124" s="5">
        <v>1.6E-10</v>
      </c>
      <c r="CA124" s="5">
        <v>5.717699407</v>
      </c>
      <c r="CB124" s="5">
        <v>17298.1823273262</v>
      </c>
      <c r="CC124">
        <f t="shared" si="21"/>
        <v>-1.7380955060249927E-11</v>
      </c>
    </row>
    <row r="125" spans="13:81" ht="12.75">
      <c r="M125" s="5">
        <v>6.153E-08</v>
      </c>
      <c r="N125" s="5">
        <v>1.45823331144</v>
      </c>
      <c r="O125" s="5">
        <v>233141.314404361</v>
      </c>
      <c r="P125">
        <f t="shared" si="14"/>
        <v>-6.102109764949473E-08</v>
      </c>
      <c r="R125" s="5">
        <v>3.56E-09</v>
      </c>
      <c r="S125" s="5">
        <v>3.84145204913</v>
      </c>
      <c r="T125" s="5">
        <v>11712.9553182308</v>
      </c>
      <c r="U125">
        <f t="shared" si="15"/>
        <v>-3.4200256076393183E-09</v>
      </c>
      <c r="W125" s="5">
        <v>2.3E-10</v>
      </c>
      <c r="X125" s="5">
        <v>3.49782549797</v>
      </c>
      <c r="Y125" s="5">
        <v>7477.522860216</v>
      </c>
      <c r="Z125">
        <f t="shared" si="16"/>
        <v>-2.2696464589816615E-10</v>
      </c>
      <c r="AQ125" s="5">
        <v>1.6E-09</v>
      </c>
      <c r="AR125" s="5">
        <v>2.49298855159</v>
      </c>
      <c r="AS125" s="5">
        <v>12592.4500197826</v>
      </c>
      <c r="AT125">
        <f t="shared" si="17"/>
        <v>4.719451906369101E-10</v>
      </c>
      <c r="BP125" s="5">
        <v>1.642E-08</v>
      </c>
      <c r="BQ125" s="5">
        <v>5.55026665339</v>
      </c>
      <c r="BR125" s="5">
        <v>6496.3749454294</v>
      </c>
      <c r="BS125">
        <f t="shared" si="19"/>
        <v>-3.8633450733593245E-09</v>
      </c>
      <c r="BU125" s="5">
        <v>1.24E-09</v>
      </c>
      <c r="BV125" s="5">
        <v>6.03440460031</v>
      </c>
      <c r="BW125" s="5">
        <v>9225.539273283</v>
      </c>
      <c r="BX125">
        <f t="shared" si="20"/>
        <v>-1.0085125374961934E-09</v>
      </c>
      <c r="BZ125" s="5">
        <v>1.6E-10</v>
      </c>
      <c r="CA125" s="5">
        <v>3.28894009404</v>
      </c>
      <c r="CB125" s="5">
        <v>5884.9268465832</v>
      </c>
      <c r="CC125">
        <f t="shared" si="21"/>
        <v>1.519478955277704E-10</v>
      </c>
    </row>
    <row r="126" spans="13:81" ht="12.75">
      <c r="M126" s="5">
        <v>4.348E-08</v>
      </c>
      <c r="N126" s="5">
        <v>4.4234217548</v>
      </c>
      <c r="O126" s="5">
        <v>5216.5803728014</v>
      </c>
      <c r="P126">
        <f t="shared" si="14"/>
        <v>1.5638327693409036E-08</v>
      </c>
      <c r="R126" s="5">
        <v>3.74E-09</v>
      </c>
      <c r="S126" s="5">
        <v>5.01577520608</v>
      </c>
      <c r="T126" s="5">
        <v>7.046236698</v>
      </c>
      <c r="U126">
        <f t="shared" si="15"/>
        <v>1.4482558995823715E-09</v>
      </c>
      <c r="W126" s="5">
        <v>1.9E-10</v>
      </c>
      <c r="X126" s="5">
        <v>3.14329413716</v>
      </c>
      <c r="Y126" s="5">
        <v>6496.3749454294</v>
      </c>
      <c r="Z126">
        <f t="shared" si="16"/>
        <v>-9.060867841435044E-11</v>
      </c>
      <c r="AQ126" s="5">
        <v>1.55E-09</v>
      </c>
      <c r="AR126" s="5">
        <v>1.5959543823</v>
      </c>
      <c r="AS126" s="5">
        <v>10021.8372800994</v>
      </c>
      <c r="AT126">
        <f t="shared" si="17"/>
        <v>-1.3215424021087209E-09</v>
      </c>
      <c r="BP126" s="5">
        <v>1.502E-08</v>
      </c>
      <c r="BQ126" s="5">
        <v>5.43948825854</v>
      </c>
      <c r="BR126" s="5">
        <v>155.4203994342</v>
      </c>
      <c r="BS126">
        <f t="shared" si="19"/>
        <v>4.948621796357013E-09</v>
      </c>
      <c r="BU126" s="5">
        <v>1.5E-09</v>
      </c>
      <c r="BV126" s="5">
        <v>5.30166336812</v>
      </c>
      <c r="BW126" s="5">
        <v>13517.8701062334</v>
      </c>
      <c r="BX126">
        <f t="shared" si="20"/>
        <v>-1.097932764586937E-09</v>
      </c>
      <c r="BZ126" s="5">
        <v>1.5E-10</v>
      </c>
      <c r="CA126" s="5">
        <v>5.64785377164</v>
      </c>
      <c r="CB126" s="5">
        <v>12559.038152982</v>
      </c>
      <c r="CC126">
        <f t="shared" si="21"/>
        <v>-1.0036886881087107E-10</v>
      </c>
    </row>
    <row r="127" spans="13:81" ht="12.75">
      <c r="M127" s="5">
        <v>6.123E-08</v>
      </c>
      <c r="N127" s="5">
        <v>1.07494905258</v>
      </c>
      <c r="O127" s="5">
        <v>19804.8272915828</v>
      </c>
      <c r="P127">
        <f t="shared" si="14"/>
        <v>-2.9383191689934697E-08</v>
      </c>
      <c r="R127" s="5">
        <v>3.81E-09</v>
      </c>
      <c r="S127" s="5">
        <v>4.30250406634</v>
      </c>
      <c r="T127" s="5">
        <v>6062.6632075526</v>
      </c>
      <c r="U127">
        <f t="shared" si="15"/>
        <v>-3.212153828045617E-09</v>
      </c>
      <c r="W127" s="5">
        <v>1.9E-10</v>
      </c>
      <c r="X127" s="5">
        <v>2.20135125199</v>
      </c>
      <c r="Y127" s="5">
        <v>18073.7049386502</v>
      </c>
      <c r="Z127">
        <f t="shared" si="16"/>
        <v>8.507440542972096E-11</v>
      </c>
      <c r="AQ127" s="5">
        <v>1.35E-09</v>
      </c>
      <c r="AR127" s="5">
        <v>0.21349051064</v>
      </c>
      <c r="AS127" s="5">
        <v>10988.808157535</v>
      </c>
      <c r="AT127">
        <f t="shared" si="17"/>
        <v>-1.20621678812391E-09</v>
      </c>
      <c r="BP127" s="5">
        <v>1.827E-08</v>
      </c>
      <c r="BQ127" s="5">
        <v>5.91227480261</v>
      </c>
      <c r="BR127" s="5">
        <v>3738.761430108</v>
      </c>
      <c r="BS127">
        <f t="shared" si="19"/>
        <v>1.4758913008360528E-08</v>
      </c>
      <c r="BU127" s="5">
        <v>1.27E-09</v>
      </c>
      <c r="BV127" s="5">
        <v>1.92389511438</v>
      </c>
      <c r="BW127" s="5">
        <v>22483.8485744925</v>
      </c>
      <c r="BX127">
        <f t="shared" si="20"/>
        <v>6.28453064682497E-10</v>
      </c>
      <c r="BZ127" s="5">
        <v>1.6E-10</v>
      </c>
      <c r="CA127" s="5">
        <v>4.4345208093</v>
      </c>
      <c r="CB127" s="5">
        <v>6283.0085396886</v>
      </c>
      <c r="CC127">
        <f t="shared" si="21"/>
        <v>1.400006956239972E-10</v>
      </c>
    </row>
    <row r="128" spans="13:81" ht="12.75">
      <c r="M128" s="5">
        <v>4.488E-08</v>
      </c>
      <c r="N128" s="5">
        <v>3.6528503715</v>
      </c>
      <c r="O128" s="5">
        <v>206.1855484372</v>
      </c>
      <c r="P128">
        <f t="shared" si="14"/>
        <v>4.451625773013663E-08</v>
      </c>
      <c r="R128" s="5">
        <v>4.71E-09</v>
      </c>
      <c r="S128" s="5">
        <v>0.86381834647</v>
      </c>
      <c r="T128" s="5">
        <v>6069.7767545534</v>
      </c>
      <c r="U128">
        <f t="shared" si="15"/>
        <v>4.398287321870419E-09</v>
      </c>
      <c r="W128" s="5">
        <v>1.9E-10</v>
      </c>
      <c r="X128" s="5">
        <v>4.95020255309</v>
      </c>
      <c r="Y128" s="5">
        <v>3930.2096962196</v>
      </c>
      <c r="Z128">
        <f t="shared" si="16"/>
        <v>1.076879553540388E-10</v>
      </c>
      <c r="AQ128" s="5">
        <v>1.78E-09</v>
      </c>
      <c r="AR128" s="5">
        <v>3.8037517797</v>
      </c>
      <c r="AS128" s="5">
        <v>23581.2581773176</v>
      </c>
      <c r="AT128">
        <f t="shared" si="17"/>
        <v>5.803701780846566E-10</v>
      </c>
      <c r="BP128" s="5">
        <v>1.726E-08</v>
      </c>
      <c r="BQ128" s="5">
        <v>2.16764983583</v>
      </c>
      <c r="BR128" s="5">
        <v>10575.4066829418</v>
      </c>
      <c r="BS128">
        <f t="shared" si="19"/>
        <v>1.07393264429035E-08</v>
      </c>
      <c r="BU128" s="5">
        <v>1.21E-09</v>
      </c>
      <c r="BV128" s="5">
        <v>2.37813129011</v>
      </c>
      <c r="BW128" s="5">
        <v>167283.761587665</v>
      </c>
      <c r="BX128">
        <f t="shared" si="20"/>
        <v>-1.1960173441136378E-09</v>
      </c>
      <c r="BZ128" s="5">
        <v>1.4E-10</v>
      </c>
      <c r="CA128" s="5">
        <v>2.31721603062</v>
      </c>
      <c r="CB128" s="5">
        <v>5481.2549188676</v>
      </c>
      <c r="CC128">
        <f t="shared" si="21"/>
        <v>1.362832660123929E-10</v>
      </c>
    </row>
    <row r="129" spans="13:81" ht="12.75">
      <c r="M129" s="5">
        <v>4.02E-08</v>
      </c>
      <c r="N129" s="5">
        <v>0.83995823171</v>
      </c>
      <c r="O129" s="5">
        <v>20.3553193988</v>
      </c>
      <c r="P129">
        <f t="shared" si="14"/>
        <v>1.7795729362964896E-08</v>
      </c>
      <c r="R129" s="5">
        <v>3.67E-09</v>
      </c>
      <c r="S129" s="5">
        <v>1.32943839763</v>
      </c>
      <c r="T129" s="5">
        <v>6283.0085396886</v>
      </c>
      <c r="U129">
        <f t="shared" si="15"/>
        <v>-3.1442724691880056E-09</v>
      </c>
      <c r="W129" s="5">
        <v>1.9E-10</v>
      </c>
      <c r="X129" s="5">
        <v>0.57998702747</v>
      </c>
      <c r="Y129" s="5">
        <v>31415.379249957</v>
      </c>
      <c r="Z129">
        <f t="shared" si="16"/>
        <v>1.857541971393939E-10</v>
      </c>
      <c r="AQ129" s="5">
        <v>1.23E-09</v>
      </c>
      <c r="AR129" s="5">
        <v>1.66800739151</v>
      </c>
      <c r="AS129" s="5">
        <v>15110.4661198662</v>
      </c>
      <c r="AT129">
        <f t="shared" si="17"/>
        <v>-1.1166992497884327E-09</v>
      </c>
      <c r="BP129" s="5">
        <v>1.532E-08</v>
      </c>
      <c r="BQ129" s="5">
        <v>5.3568310707</v>
      </c>
      <c r="BR129" s="5">
        <v>13521.7514415914</v>
      </c>
      <c r="BS129">
        <f t="shared" si="19"/>
        <v>-1.0033717834959153E-08</v>
      </c>
      <c r="BU129" s="5">
        <v>1.2E-09</v>
      </c>
      <c r="BV129" s="5">
        <v>3.98423684853</v>
      </c>
      <c r="BW129" s="5">
        <v>4686.8894077068</v>
      </c>
      <c r="BX129">
        <f t="shared" si="20"/>
        <v>-9.192966395999765E-10</v>
      </c>
      <c r="BZ129" s="5">
        <v>1.4E-10</v>
      </c>
      <c r="CA129" s="5">
        <v>4.43479032305</v>
      </c>
      <c r="CB129" s="5">
        <v>13517.8701062334</v>
      </c>
      <c r="CC129">
        <f t="shared" si="21"/>
        <v>-1.3903854633927794E-10</v>
      </c>
    </row>
    <row r="130" spans="13:81" ht="12.75">
      <c r="M130" s="5">
        <v>5.188E-08</v>
      </c>
      <c r="N130" s="5">
        <v>4.06503864016</v>
      </c>
      <c r="O130" s="5">
        <v>6208.2942514241</v>
      </c>
      <c r="P130">
        <f aca="true" t="shared" si="22" ref="P130:P193">M130*COS(N130+O130*$E$16)</f>
        <v>3.371314561413216E-08</v>
      </c>
      <c r="R130" s="5">
        <v>4.6E-09</v>
      </c>
      <c r="S130" s="5">
        <v>5.19667219575</v>
      </c>
      <c r="T130" s="5">
        <v>6284.0561710596</v>
      </c>
      <c r="U130">
        <f aca="true" t="shared" si="23" ref="U130:U193">R130*COS(S130+T130*$E$16)</f>
        <v>1.3122119668547736E-09</v>
      </c>
      <c r="W130" s="5">
        <v>2.1E-10</v>
      </c>
      <c r="X130" s="5">
        <v>1.75474323399</v>
      </c>
      <c r="Y130" s="5">
        <v>12139.5535091068</v>
      </c>
      <c r="Z130">
        <f aca="true" t="shared" si="24" ref="Z130:Z142">W130*COS(X130+Y130*$E$16)</f>
        <v>1.5238726545753176E-10</v>
      </c>
      <c r="AQ130" s="5">
        <v>1.22E-09</v>
      </c>
      <c r="AR130" s="5">
        <v>2.72678272244</v>
      </c>
      <c r="AS130" s="5">
        <v>18849.2275499742</v>
      </c>
      <c r="AT130">
        <f aca="true" t="shared" si="25" ref="AT130:AT184">AQ130*COS(AR130+AS130*$E$16)</f>
        <v>-1.1388655488718504E-09</v>
      </c>
      <c r="BP130" s="5">
        <v>1.829E-08</v>
      </c>
      <c r="BQ130" s="5">
        <v>1.66006148731</v>
      </c>
      <c r="BR130" s="5">
        <v>39302.096962196</v>
      </c>
      <c r="BS130">
        <f aca="true" t="shared" si="26" ref="BS130:BS193">BP130*COS(BQ130+BR130*$E$16)</f>
        <v>1.6382338162208946E-08</v>
      </c>
      <c r="BU130" s="5">
        <v>1.17E-09</v>
      </c>
      <c r="BV130" s="5">
        <v>5.81072642211</v>
      </c>
      <c r="BW130" s="5">
        <v>12569.6748183318</v>
      </c>
      <c r="BX130">
        <f aca="true" t="shared" si="27" ref="BX130:BX193">BU130*COS(BV130+BW130*$E$16)</f>
        <v>-4.854974567137168E-10</v>
      </c>
      <c r="BZ130" s="5">
        <v>1.4E-10</v>
      </c>
      <c r="CA130" s="5">
        <v>4.73209312936</v>
      </c>
      <c r="CB130" s="5">
        <v>7342.4577801806</v>
      </c>
      <c r="CC130">
        <f aca="true" t="shared" si="28" ref="CC130:CC139">BZ130*COS(CA130+CB130*$E$16)</f>
        <v>-1.0386808722398883E-10</v>
      </c>
    </row>
    <row r="131" spans="13:81" ht="12.75">
      <c r="M131" s="5">
        <v>5.307E-08</v>
      </c>
      <c r="N131" s="5">
        <v>0.38217636096</v>
      </c>
      <c r="O131" s="5">
        <v>31441.6775697568</v>
      </c>
      <c r="P131">
        <f t="shared" si="22"/>
        <v>5.298115485147718E-08</v>
      </c>
      <c r="R131" s="5">
        <v>3.33E-09</v>
      </c>
      <c r="S131" s="5">
        <v>5.54256205741</v>
      </c>
      <c r="T131" s="5">
        <v>4686.8894077068</v>
      </c>
      <c r="U131">
        <f t="shared" si="23"/>
        <v>2.108359470006296E-09</v>
      </c>
      <c r="W131" s="5">
        <v>1.9E-10</v>
      </c>
      <c r="X131" s="5">
        <v>3.92233070499</v>
      </c>
      <c r="Y131" s="5">
        <v>19651.048481098</v>
      </c>
      <c r="Z131">
        <f t="shared" si="24"/>
        <v>-1.8261678664300306E-10</v>
      </c>
      <c r="AQ131" s="5">
        <v>1.26E-09</v>
      </c>
      <c r="AR131" s="5">
        <v>1.1767551291</v>
      </c>
      <c r="AS131" s="5">
        <v>14919.0178537546</v>
      </c>
      <c r="AT131">
        <f t="shared" si="25"/>
        <v>1.1866601514987706E-09</v>
      </c>
      <c r="BP131" s="5">
        <v>1.605E-08</v>
      </c>
      <c r="BQ131" s="5">
        <v>1.90928637633</v>
      </c>
      <c r="BR131" s="5">
        <v>6133.5126528568</v>
      </c>
      <c r="BS131">
        <f t="shared" si="26"/>
        <v>-1.0253439251123116E-08</v>
      </c>
      <c r="BU131" s="5">
        <v>1.22E-09</v>
      </c>
      <c r="BV131" s="5">
        <v>5.60973054224</v>
      </c>
      <c r="BW131" s="5">
        <v>5642.1982426092</v>
      </c>
      <c r="BX131">
        <f t="shared" si="27"/>
        <v>1.001986146903454E-09</v>
      </c>
      <c r="BZ131" s="5">
        <v>1.2E-10</v>
      </c>
      <c r="CA131" s="5">
        <v>0.64705975463</v>
      </c>
      <c r="CB131" s="5">
        <v>18073.7049386502</v>
      </c>
      <c r="CC131">
        <f t="shared" si="28"/>
        <v>-1.063970535835549E-10</v>
      </c>
    </row>
    <row r="132" spans="13:81" ht="12.75">
      <c r="M132" s="5">
        <v>3.785E-08</v>
      </c>
      <c r="N132" s="5">
        <v>2.34369213733</v>
      </c>
      <c r="O132" s="5">
        <v>3.881335358</v>
      </c>
      <c r="P132">
        <f t="shared" si="22"/>
        <v>-2.779772202076486E-08</v>
      </c>
      <c r="R132" s="5">
        <v>3.41E-09</v>
      </c>
      <c r="S132" s="5">
        <v>4.36522989934</v>
      </c>
      <c r="T132" s="5">
        <v>7238.6755916</v>
      </c>
      <c r="U132">
        <f t="shared" si="23"/>
        <v>2.710998943625309E-09</v>
      </c>
      <c r="W132" s="5">
        <v>1.4E-10</v>
      </c>
      <c r="X132" s="5">
        <v>0.98131213224</v>
      </c>
      <c r="Y132" s="5">
        <v>12559.038152982</v>
      </c>
      <c r="Z132">
        <f t="shared" si="24"/>
        <v>1.0822492063598204E-10</v>
      </c>
      <c r="AQ132" s="5">
        <v>1.42E-09</v>
      </c>
      <c r="AR132" s="5">
        <v>3.95053441332</v>
      </c>
      <c r="AS132" s="5">
        <v>337.8142631964</v>
      </c>
      <c r="AT132">
        <f t="shared" si="25"/>
        <v>-8.190822266031405E-10</v>
      </c>
      <c r="BP132" s="5">
        <v>1.282E-08</v>
      </c>
      <c r="BQ132" s="5">
        <v>2.46014880418</v>
      </c>
      <c r="BR132" s="5">
        <v>13916.0191096416</v>
      </c>
      <c r="BS132">
        <f t="shared" si="26"/>
        <v>1.2766070182325909E-08</v>
      </c>
      <c r="BU132" s="5">
        <v>1.57E-09</v>
      </c>
      <c r="BV132" s="5">
        <v>3.40236426002</v>
      </c>
      <c r="BW132" s="5">
        <v>16496.3613962024</v>
      </c>
      <c r="BX132">
        <f t="shared" si="27"/>
        <v>-8.632701649947974E-10</v>
      </c>
      <c r="BZ132" s="5">
        <v>1.1E-10</v>
      </c>
      <c r="CA132" s="5">
        <v>1.514433322</v>
      </c>
      <c r="CB132" s="5">
        <v>16200.7727245012</v>
      </c>
      <c r="CC132">
        <f t="shared" si="28"/>
        <v>-1.539786571747861E-11</v>
      </c>
    </row>
    <row r="133" spans="13:81" ht="12.75">
      <c r="M133" s="5">
        <v>4.497E-08</v>
      </c>
      <c r="N133" s="5">
        <v>3.27230796845</v>
      </c>
      <c r="O133" s="5">
        <v>11015.1064773348</v>
      </c>
      <c r="P133">
        <f t="shared" si="22"/>
        <v>4.410226949045605E-08</v>
      </c>
      <c r="R133" s="5">
        <v>3.36E-09</v>
      </c>
      <c r="S133" s="5">
        <v>4.00205876835</v>
      </c>
      <c r="T133" s="5">
        <v>3097.88382272579</v>
      </c>
      <c r="U133">
        <f t="shared" si="23"/>
        <v>3.913793241036847E-10</v>
      </c>
      <c r="W133" s="5">
        <v>1.9E-10</v>
      </c>
      <c r="X133" s="5">
        <v>4.93309333729</v>
      </c>
      <c r="Y133" s="5">
        <v>2942.4634232916</v>
      </c>
      <c r="Z133">
        <f t="shared" si="24"/>
        <v>1.8115479133246575E-10</v>
      </c>
      <c r="AQ133" s="5">
        <v>1.16E-09</v>
      </c>
      <c r="AR133" s="5">
        <v>6.06340906229</v>
      </c>
      <c r="AS133" s="5">
        <v>6709.6740408674</v>
      </c>
      <c r="AT133">
        <f t="shared" si="25"/>
        <v>1.5170227946868545E-11</v>
      </c>
      <c r="BP133" s="5">
        <v>1.211E-08</v>
      </c>
      <c r="BQ133" s="5">
        <v>4.4136063155</v>
      </c>
      <c r="BR133" s="5">
        <v>3894.1818295422</v>
      </c>
      <c r="BS133">
        <f t="shared" si="26"/>
        <v>1.209470525221308E-08</v>
      </c>
      <c r="BU133" s="5">
        <v>1.29E-09</v>
      </c>
      <c r="BV133" s="5">
        <v>2.10705116371</v>
      </c>
      <c r="BW133" s="5">
        <v>1589.0728952838</v>
      </c>
      <c r="BX133">
        <f t="shared" si="27"/>
        <v>-2.575435131513069E-10</v>
      </c>
      <c r="BZ133" s="5">
        <v>1.1E-10</v>
      </c>
      <c r="CA133" s="5">
        <v>0.88708889185</v>
      </c>
      <c r="CB133" s="5">
        <v>21228.3920235458</v>
      </c>
      <c r="CC133">
        <f t="shared" si="28"/>
        <v>-5.305747638046003E-11</v>
      </c>
    </row>
    <row r="134" spans="13:81" ht="12.75">
      <c r="M134" s="5">
        <v>4.132E-08</v>
      </c>
      <c r="N134" s="5">
        <v>0.92128915753</v>
      </c>
      <c r="O134" s="5">
        <v>3738.761430108</v>
      </c>
      <c r="P134">
        <f t="shared" si="22"/>
        <v>3.259551996244384E-08</v>
      </c>
      <c r="R134" s="5">
        <v>3.59E-09</v>
      </c>
      <c r="S134" s="5">
        <v>6.22679790284</v>
      </c>
      <c r="T134" s="5">
        <v>245.8316462294</v>
      </c>
      <c r="U134">
        <f t="shared" si="23"/>
        <v>-3.5754620888155568E-09</v>
      </c>
      <c r="W134" s="5">
        <v>1.6E-10</v>
      </c>
      <c r="X134" s="5">
        <v>5.55997534558</v>
      </c>
      <c r="Y134" s="5">
        <v>8827.3902698748</v>
      </c>
      <c r="Z134">
        <f t="shared" si="24"/>
        <v>-7.193758499946154E-11</v>
      </c>
      <c r="AQ134" s="5">
        <v>1.37E-09</v>
      </c>
      <c r="AR134" s="5">
        <v>3.52143246757</v>
      </c>
      <c r="AS134" s="5">
        <v>12139.5535091068</v>
      </c>
      <c r="AT134">
        <f t="shared" si="25"/>
        <v>-1.1181165981388366E-09</v>
      </c>
      <c r="BP134" s="5">
        <v>1.394E-08</v>
      </c>
      <c r="BQ134" s="5">
        <v>1.77801929354</v>
      </c>
      <c r="BR134" s="5">
        <v>9225.539273283</v>
      </c>
      <c r="BS134">
        <f t="shared" si="26"/>
        <v>1.2274527866618674E-08</v>
      </c>
      <c r="BU134" s="5">
        <v>1.16E-09</v>
      </c>
      <c r="BV134" s="5">
        <v>0.55839966736</v>
      </c>
      <c r="BW134" s="5">
        <v>5849.3641121146</v>
      </c>
      <c r="BX134">
        <f t="shared" si="27"/>
        <v>-1.1227810857217594E-09</v>
      </c>
      <c r="BZ134" s="5">
        <v>1.4E-10</v>
      </c>
      <c r="CA134" s="5">
        <v>4.50116508534</v>
      </c>
      <c r="CB134" s="5">
        <v>640.8776073822</v>
      </c>
      <c r="CC134">
        <f t="shared" si="28"/>
        <v>1.224191964848695E-10</v>
      </c>
    </row>
    <row r="135" spans="13:81" ht="12.75">
      <c r="M135" s="5">
        <v>3.521E-08</v>
      </c>
      <c r="N135" s="5">
        <v>5.97844807108</v>
      </c>
      <c r="O135" s="5">
        <v>3894.1818295422</v>
      </c>
      <c r="P135">
        <f t="shared" si="22"/>
        <v>1.978424595109024E-09</v>
      </c>
      <c r="R135" s="5">
        <v>3.07E-09</v>
      </c>
      <c r="S135" s="5">
        <v>2.35299010924</v>
      </c>
      <c r="T135" s="5">
        <v>170.6728706192</v>
      </c>
      <c r="U135">
        <f t="shared" si="23"/>
        <v>-2.350673291852333E-10</v>
      </c>
      <c r="W135" s="5">
        <v>1.3E-10</v>
      </c>
      <c r="X135" s="5">
        <v>1.68808165516</v>
      </c>
      <c r="Y135" s="5">
        <v>4535.0594369244</v>
      </c>
      <c r="Z135">
        <f t="shared" si="24"/>
        <v>1.1487307450190881E-10</v>
      </c>
      <c r="AQ135" s="5">
        <v>1.36E-09</v>
      </c>
      <c r="AR135" s="5">
        <v>2.92179113542</v>
      </c>
      <c r="AS135" s="5">
        <v>32217.2001810808</v>
      </c>
      <c r="AT135">
        <f t="shared" si="25"/>
        <v>1.3039829535126599E-09</v>
      </c>
      <c r="BP135" s="5">
        <v>1.571E-08</v>
      </c>
      <c r="BQ135" s="5">
        <v>4.95512957592</v>
      </c>
      <c r="BR135" s="5">
        <v>25158.6017197654</v>
      </c>
      <c r="BS135">
        <f t="shared" si="26"/>
        <v>-8.732188359686951E-09</v>
      </c>
      <c r="BU135" s="5">
        <v>1.23E-09</v>
      </c>
      <c r="BV135" s="5">
        <v>1.52961392771</v>
      </c>
      <c r="BW135" s="5">
        <v>12559.038152982</v>
      </c>
      <c r="BX135">
        <f t="shared" si="27"/>
        <v>1.2181566911585004E-09</v>
      </c>
      <c r="BZ135" s="5">
        <v>1.1E-10</v>
      </c>
      <c r="CA135" s="5">
        <v>4.64339996198</v>
      </c>
      <c r="CB135" s="5">
        <v>11790.6290886588</v>
      </c>
      <c r="CC135">
        <f t="shared" si="28"/>
        <v>5.7625987873635434E-11</v>
      </c>
    </row>
    <row r="136" spans="13:81" ht="12.75">
      <c r="M136" s="5">
        <v>4.215E-08</v>
      </c>
      <c r="N136" s="5">
        <v>1.90601120623</v>
      </c>
      <c r="O136" s="5">
        <v>245.8316462294</v>
      </c>
      <c r="P136">
        <f t="shared" si="22"/>
        <v>1.9524823380198555E-08</v>
      </c>
      <c r="R136" s="5">
        <v>3.43E-09</v>
      </c>
      <c r="S136" s="5">
        <v>3.77164927143</v>
      </c>
      <c r="T136" s="5">
        <v>6076.8903015542</v>
      </c>
      <c r="U136">
        <f t="shared" si="23"/>
        <v>-3.341825004376313E-09</v>
      </c>
      <c r="W136" s="5">
        <v>1.3E-10</v>
      </c>
      <c r="X136" s="5">
        <v>0.33982116161</v>
      </c>
      <c r="Y136" s="5">
        <v>4933.2084403326</v>
      </c>
      <c r="Z136">
        <f t="shared" si="24"/>
        <v>-1.2219919318623813E-10</v>
      </c>
      <c r="AQ136" s="5">
        <v>1.1E-09</v>
      </c>
      <c r="AR136" s="5">
        <v>3.51203379263</v>
      </c>
      <c r="AS136" s="5">
        <v>18052.9295431578</v>
      </c>
      <c r="AT136">
        <f t="shared" si="25"/>
        <v>1.0970117609362317E-09</v>
      </c>
      <c r="BP136" s="5">
        <v>1.205E-08</v>
      </c>
      <c r="BQ136" s="5">
        <v>1.19212540615</v>
      </c>
      <c r="BR136" s="5">
        <v>3.523118349</v>
      </c>
      <c r="BS136">
        <f t="shared" si="26"/>
        <v>3.922373343349239E-09</v>
      </c>
      <c r="BU136" s="5">
        <v>1.11E-09</v>
      </c>
      <c r="BV136" s="5">
        <v>0.44848279675</v>
      </c>
      <c r="BW136" s="5">
        <v>6172.869528772</v>
      </c>
      <c r="BX136">
        <f t="shared" si="27"/>
        <v>2.6536992647495176E-10</v>
      </c>
      <c r="BZ136" s="5">
        <v>1.1E-10</v>
      </c>
      <c r="CA136" s="5">
        <v>1.31064298246</v>
      </c>
      <c r="CB136" s="5">
        <v>4164.311989613</v>
      </c>
      <c r="CC136">
        <f t="shared" si="28"/>
        <v>9.857694411862638E-11</v>
      </c>
    </row>
    <row r="137" spans="13:81" ht="12.75">
      <c r="M137" s="5">
        <v>3.701E-08</v>
      </c>
      <c r="N137" s="5">
        <v>5.03069397926</v>
      </c>
      <c r="O137" s="5">
        <v>536.8045120954</v>
      </c>
      <c r="P137">
        <f t="shared" si="22"/>
        <v>3.469069930676056E-08</v>
      </c>
      <c r="R137" s="5">
        <v>2.96E-09</v>
      </c>
      <c r="S137" s="5">
        <v>5.44152227481</v>
      </c>
      <c r="T137" s="5">
        <v>17260.1546546904</v>
      </c>
      <c r="U137">
        <f t="shared" si="23"/>
        <v>-2.3069063412632786E-09</v>
      </c>
      <c r="W137" s="5">
        <v>1.2E-10</v>
      </c>
      <c r="X137" s="5">
        <v>1.85426309994</v>
      </c>
      <c r="Y137" s="5">
        <v>5856.4776591154</v>
      </c>
      <c r="Z137">
        <f t="shared" si="24"/>
        <v>8.897305399084405E-12</v>
      </c>
      <c r="AQ137" s="5">
        <v>1.47E-09</v>
      </c>
      <c r="AR137" s="5">
        <v>4.63371971408</v>
      </c>
      <c r="AS137" s="5">
        <v>22805.7355659936</v>
      </c>
      <c r="AT137">
        <f t="shared" si="25"/>
        <v>-3.1251614783807303E-10</v>
      </c>
      <c r="BP137" s="5">
        <v>1.132E-08</v>
      </c>
      <c r="BQ137" s="5">
        <v>2.69830084955</v>
      </c>
      <c r="BR137" s="5">
        <v>6040.3472460174</v>
      </c>
      <c r="BS137">
        <f t="shared" si="26"/>
        <v>-2.6458939096518646E-09</v>
      </c>
      <c r="BU137" s="5">
        <v>1.23E-09</v>
      </c>
      <c r="BV137" s="5">
        <v>5.81645568991</v>
      </c>
      <c r="BW137" s="5">
        <v>6282.0955289232</v>
      </c>
      <c r="BX137">
        <f t="shared" si="27"/>
        <v>-3.685140668253129E-10</v>
      </c>
      <c r="BZ137" s="5">
        <v>9E-11</v>
      </c>
      <c r="CA137" s="5">
        <v>3.02238989305</v>
      </c>
      <c r="CB137" s="5">
        <v>23543.2305046817</v>
      </c>
      <c r="CC137">
        <f t="shared" si="28"/>
        <v>-7.361662386135384E-11</v>
      </c>
    </row>
    <row r="138" spans="13:81" ht="12.75">
      <c r="M138" s="5">
        <v>3.865E-08</v>
      </c>
      <c r="N138" s="5">
        <v>1.82634360607</v>
      </c>
      <c r="O138" s="5">
        <v>11856.2186514245</v>
      </c>
      <c r="P138">
        <f t="shared" si="22"/>
        <v>-3.8008889060968546E-08</v>
      </c>
      <c r="R138" s="5">
        <v>3.28E-09</v>
      </c>
      <c r="S138" s="5">
        <v>0.13837875384</v>
      </c>
      <c r="T138" s="5">
        <v>11015.1064773348</v>
      </c>
      <c r="U138">
        <f t="shared" si="23"/>
        <v>-3.221529426529613E-09</v>
      </c>
      <c r="W138" s="5">
        <v>1E-10</v>
      </c>
      <c r="X138" s="5">
        <v>4.82763996845</v>
      </c>
      <c r="Y138" s="5">
        <v>13095.8426650774</v>
      </c>
      <c r="Z138">
        <f t="shared" si="24"/>
        <v>-6.104706605774155E-11</v>
      </c>
      <c r="AQ138" s="5">
        <v>1.08E-09</v>
      </c>
      <c r="AR138" s="5">
        <v>5.45280814878</v>
      </c>
      <c r="AS138" s="5">
        <v>7.1135470008</v>
      </c>
      <c r="AT138">
        <f t="shared" si="25"/>
        <v>8.010082592726394E-10</v>
      </c>
      <c r="BP138" s="5">
        <v>1.504E-08</v>
      </c>
      <c r="BQ138" s="5">
        <v>5.77002730341</v>
      </c>
      <c r="BR138" s="5">
        <v>18209.3302636601</v>
      </c>
      <c r="BS138">
        <f t="shared" si="26"/>
        <v>-6.355164187163827E-09</v>
      </c>
      <c r="BU138" s="5">
        <v>1.5E-09</v>
      </c>
      <c r="BV138" s="5">
        <v>4.26278409223</v>
      </c>
      <c r="BW138" s="5">
        <v>3128.3887650958</v>
      </c>
      <c r="BX138">
        <f t="shared" si="27"/>
        <v>-7.865649578830433E-10</v>
      </c>
      <c r="BZ138" s="5">
        <v>9E-11</v>
      </c>
      <c r="CA138" s="5">
        <v>2.04999402381</v>
      </c>
      <c r="CB138" s="5">
        <v>22003.9146348698</v>
      </c>
      <c r="CC138">
        <f t="shared" si="28"/>
        <v>4.5303944420411564E-11</v>
      </c>
    </row>
    <row r="139" spans="13:81" ht="12.75">
      <c r="M139" s="5">
        <v>3.652E-08</v>
      </c>
      <c r="N139" s="5">
        <v>1.01838584934</v>
      </c>
      <c r="O139" s="5">
        <v>16200.7727245012</v>
      </c>
      <c r="P139">
        <f t="shared" si="22"/>
        <v>-2.1706605778743077E-08</v>
      </c>
      <c r="R139" s="5">
        <v>2.68E-09</v>
      </c>
      <c r="S139" s="5">
        <v>1.1390455063</v>
      </c>
      <c r="T139" s="5">
        <v>12569.6748183318</v>
      </c>
      <c r="U139">
        <f t="shared" si="23"/>
        <v>2.481614289500762E-09</v>
      </c>
      <c r="W139" s="5">
        <v>1.1E-10</v>
      </c>
      <c r="X139" s="5">
        <v>5.38005490571</v>
      </c>
      <c r="Y139" s="5">
        <v>11790.6290886588</v>
      </c>
      <c r="Z139">
        <f t="shared" si="24"/>
        <v>1.0563209041347177E-10</v>
      </c>
      <c r="AQ139" s="5">
        <v>1.48E-09</v>
      </c>
      <c r="AR139" s="5">
        <v>0.65447253687</v>
      </c>
      <c r="AS139" s="5">
        <v>95480.9471841745</v>
      </c>
      <c r="AT139">
        <f t="shared" si="25"/>
        <v>-9.045469107264902E-10</v>
      </c>
      <c r="BP139" s="5">
        <v>1.393E-08</v>
      </c>
      <c r="BQ139" s="5">
        <v>1.62621805428</v>
      </c>
      <c r="BR139" s="5">
        <v>5120.6011455836</v>
      </c>
      <c r="BS139">
        <f t="shared" si="26"/>
        <v>7.533777593785495E-09</v>
      </c>
      <c r="BU139" s="5">
        <v>1.06E-09</v>
      </c>
      <c r="BV139" s="5">
        <v>2.27437761356</v>
      </c>
      <c r="BW139" s="5">
        <v>5429.8794682394</v>
      </c>
      <c r="BX139">
        <f t="shared" si="27"/>
        <v>9.307210891286246E-10</v>
      </c>
      <c r="BZ139" s="5">
        <v>9E-11</v>
      </c>
      <c r="CA139" s="5">
        <v>4.91488110218</v>
      </c>
      <c r="CB139" s="5">
        <v>213.299095438</v>
      </c>
      <c r="CC139">
        <f t="shared" si="28"/>
        <v>7.75008375085684E-12</v>
      </c>
    </row>
    <row r="140" spans="13:76" ht="12.75">
      <c r="M140" s="5">
        <v>3.39E-08</v>
      </c>
      <c r="N140" s="5">
        <v>0.97785123922</v>
      </c>
      <c r="O140" s="5">
        <v>8635.9420037632</v>
      </c>
      <c r="P140">
        <f t="shared" si="22"/>
        <v>-3.2888454889790326E-08</v>
      </c>
      <c r="R140" s="5">
        <v>2.63E-09</v>
      </c>
      <c r="S140" s="5">
        <v>0.00538633678</v>
      </c>
      <c r="T140" s="5">
        <v>4136.9104335162</v>
      </c>
      <c r="U140">
        <f t="shared" si="23"/>
        <v>9.235620536107914E-10</v>
      </c>
      <c r="W140" s="5">
        <v>1E-10</v>
      </c>
      <c r="X140" s="5">
        <v>1.40815507226</v>
      </c>
      <c r="Y140" s="5">
        <v>10988.808157535</v>
      </c>
      <c r="Z140">
        <f t="shared" si="24"/>
        <v>-7.458845792874817E-11</v>
      </c>
      <c r="AQ140" s="5">
        <v>1.19E-09</v>
      </c>
      <c r="AR140" s="5">
        <v>5.92110458985</v>
      </c>
      <c r="AS140" s="5">
        <v>33019.0211122046</v>
      </c>
      <c r="AT140">
        <f t="shared" si="25"/>
        <v>1.4891162411134832E-10</v>
      </c>
      <c r="BP140" s="5">
        <v>1.077E-08</v>
      </c>
      <c r="BQ140" s="5">
        <v>2.93931554233</v>
      </c>
      <c r="BR140" s="5">
        <v>17256.6315363414</v>
      </c>
      <c r="BS140">
        <f t="shared" si="26"/>
        <v>3.196948727793627E-09</v>
      </c>
      <c r="BU140" s="5">
        <v>1.04E-09</v>
      </c>
      <c r="BV140" s="5">
        <v>4.42743707728</v>
      </c>
      <c r="BW140" s="5">
        <v>23543.2305046817</v>
      </c>
      <c r="BX140">
        <f t="shared" si="27"/>
        <v>4.4972805945820735E-10</v>
      </c>
    </row>
    <row r="141" spans="13:76" ht="12.75">
      <c r="M141" s="5">
        <v>3.737E-08</v>
      </c>
      <c r="N141" s="5">
        <v>2.95380107829</v>
      </c>
      <c r="O141" s="5">
        <v>3128.3887650958</v>
      </c>
      <c r="P141">
        <f t="shared" si="22"/>
        <v>2.566362144112831E-08</v>
      </c>
      <c r="R141" s="5">
        <v>2.82E-09</v>
      </c>
      <c r="S141" s="5">
        <v>5.0439983748</v>
      </c>
      <c r="T141" s="5">
        <v>7477.522860216</v>
      </c>
      <c r="U141">
        <f t="shared" si="23"/>
        <v>-5.250093503065272E-10</v>
      </c>
      <c r="W141" s="5">
        <v>1.1E-10</v>
      </c>
      <c r="X141" s="5">
        <v>3.05005267431</v>
      </c>
      <c r="Y141" s="5">
        <v>17260.1546546904</v>
      </c>
      <c r="Z141">
        <f t="shared" si="24"/>
        <v>1.5733177052225217E-11</v>
      </c>
      <c r="AQ141" s="5">
        <v>1.1E-09</v>
      </c>
      <c r="AR141" s="5">
        <v>5.34824206306</v>
      </c>
      <c r="AS141" s="5">
        <v>639.897286314</v>
      </c>
      <c r="AT141">
        <f t="shared" si="25"/>
        <v>2.5107488804479356E-10</v>
      </c>
      <c r="BP141" s="5">
        <v>1.232E-08</v>
      </c>
      <c r="BQ141" s="5">
        <v>0.71655165307</v>
      </c>
      <c r="BR141" s="5">
        <v>143571.324284816</v>
      </c>
      <c r="BS141">
        <f t="shared" si="26"/>
        <v>-1.1888503146068267E-09</v>
      </c>
      <c r="BU141" s="5">
        <v>1.21E-09</v>
      </c>
      <c r="BV141" s="5">
        <v>0.39459045915</v>
      </c>
      <c r="BW141" s="5">
        <v>12132.439962106</v>
      </c>
      <c r="BX141">
        <f t="shared" si="27"/>
        <v>9.281938597531532E-10</v>
      </c>
    </row>
    <row r="142" spans="13:76" ht="12.75">
      <c r="M142" s="5">
        <v>3.507E-08</v>
      </c>
      <c r="N142" s="5">
        <v>3.71291946325</v>
      </c>
      <c r="O142" s="5">
        <v>6290.1893969922</v>
      </c>
      <c r="P142">
        <f t="shared" si="22"/>
        <v>3.481693479378837E-08</v>
      </c>
      <c r="R142" s="5">
        <v>2.88E-09</v>
      </c>
      <c r="S142" s="5">
        <v>3.13401177517</v>
      </c>
      <c r="T142" s="5">
        <v>12559.038152982</v>
      </c>
      <c r="U142">
        <f t="shared" si="23"/>
        <v>3.0264988821039946E-10</v>
      </c>
      <c r="W142" s="5">
        <v>1E-10</v>
      </c>
      <c r="X142" s="5">
        <v>4.93364992366</v>
      </c>
      <c r="Y142" s="5">
        <v>12352.8526045448</v>
      </c>
      <c r="Z142">
        <f t="shared" si="24"/>
        <v>8.740032772214126E-11</v>
      </c>
      <c r="AQ142" s="5">
        <v>1.06E-09</v>
      </c>
      <c r="AR142" s="5">
        <v>3.71081682629</v>
      </c>
      <c r="AS142" s="5">
        <v>14314.1681130498</v>
      </c>
      <c r="AT142">
        <f t="shared" si="25"/>
        <v>9.826076009414978E-10</v>
      </c>
      <c r="BP142" s="5">
        <v>1.087E-08</v>
      </c>
      <c r="BQ142" s="5">
        <v>0.99769687939</v>
      </c>
      <c r="BR142" s="5">
        <v>955.5997416086</v>
      </c>
      <c r="BS142">
        <f t="shared" si="26"/>
        <v>3.811872686609574E-09</v>
      </c>
      <c r="BU142" s="5">
        <v>1.04E-09</v>
      </c>
      <c r="BV142" s="5">
        <v>2.41842602527</v>
      </c>
      <c r="BW142" s="5">
        <v>426.598190876</v>
      </c>
      <c r="BX142">
        <f t="shared" si="27"/>
        <v>-2.7760898036886847E-10</v>
      </c>
    </row>
    <row r="143" spans="13:76" ht="12.75">
      <c r="M143" s="5">
        <v>3.086E-08</v>
      </c>
      <c r="N143" s="5">
        <v>3.64646921512</v>
      </c>
      <c r="O143" s="5">
        <v>10.6366653498</v>
      </c>
      <c r="P143">
        <f t="shared" si="22"/>
        <v>-2.462041665530491E-08</v>
      </c>
      <c r="R143" s="5">
        <v>2.59E-09</v>
      </c>
      <c r="S143" s="5">
        <v>0.93882269387</v>
      </c>
      <c r="T143" s="5">
        <v>5642.1982426092</v>
      </c>
      <c r="U143">
        <f t="shared" si="23"/>
        <v>1.3881025550251956E-09</v>
      </c>
      <c r="AQ143" s="5">
        <v>1.39E-09</v>
      </c>
      <c r="AR143" s="5">
        <v>6.17607198418</v>
      </c>
      <c r="AS143" s="5">
        <v>24356.7807886416</v>
      </c>
      <c r="AT143">
        <f t="shared" si="25"/>
        <v>6.794279538682908E-10</v>
      </c>
      <c r="BP143" s="5">
        <v>1.068E-08</v>
      </c>
      <c r="BQ143" s="5">
        <v>5.28472576231</v>
      </c>
      <c r="BR143" s="5">
        <v>65147.6197681377</v>
      </c>
      <c r="BS143">
        <f t="shared" si="26"/>
        <v>-1.0587489125188213E-08</v>
      </c>
      <c r="BU143" s="5">
        <v>1.1E-09</v>
      </c>
      <c r="BV143" s="5">
        <v>5.80381480447</v>
      </c>
      <c r="BW143" s="5">
        <v>16858.4825329332</v>
      </c>
      <c r="BX143">
        <f t="shared" si="27"/>
        <v>4.074579555618439E-10</v>
      </c>
    </row>
    <row r="144" spans="13:76" ht="12.75">
      <c r="M144" s="5">
        <v>3.397E-08</v>
      </c>
      <c r="N144" s="5">
        <v>1.10590684017</v>
      </c>
      <c r="O144" s="5">
        <v>14712.317116458</v>
      </c>
      <c r="P144">
        <f t="shared" si="22"/>
        <v>-3.3947058500503985E-08</v>
      </c>
      <c r="R144" s="5">
        <v>2.92E-09</v>
      </c>
      <c r="S144" s="5">
        <v>1.98420020514</v>
      </c>
      <c r="T144" s="5">
        <v>12132.439962106</v>
      </c>
      <c r="U144">
        <f t="shared" si="23"/>
        <v>1.830782249301743E-09</v>
      </c>
      <c r="AQ144" s="5">
        <v>1.18E-09</v>
      </c>
      <c r="AR144" s="5">
        <v>5.5973871267</v>
      </c>
      <c r="AS144" s="5">
        <v>161338.50000087</v>
      </c>
      <c r="AT144">
        <f t="shared" si="25"/>
        <v>-5.843244747073131E-10</v>
      </c>
      <c r="BP144" s="5">
        <v>9.8E-09</v>
      </c>
      <c r="BQ144" s="5">
        <v>5.10949204607</v>
      </c>
      <c r="BR144" s="5">
        <v>6172.869528772</v>
      </c>
      <c r="BS144">
        <f t="shared" si="26"/>
        <v>9.382935609482168E-09</v>
      </c>
      <c r="BU144" s="5">
        <v>1E-09</v>
      </c>
      <c r="BV144" s="5">
        <v>2.93805577485</v>
      </c>
      <c r="BW144" s="5">
        <v>4535.0594369244</v>
      </c>
      <c r="BX144">
        <f t="shared" si="27"/>
        <v>7.229340513615034E-10</v>
      </c>
    </row>
    <row r="145" spans="13:76" ht="12.75">
      <c r="M145" s="5">
        <v>3.334E-08</v>
      </c>
      <c r="N145" s="5">
        <v>0.83684924911</v>
      </c>
      <c r="O145" s="5">
        <v>6496.3749454294</v>
      </c>
      <c r="P145">
        <f t="shared" si="22"/>
        <v>3.2395959479503463E-08</v>
      </c>
      <c r="R145" s="5">
        <v>2.47E-09</v>
      </c>
      <c r="S145" s="5">
        <v>3.84244798532</v>
      </c>
      <c r="T145" s="5">
        <v>5429.8794682394</v>
      </c>
      <c r="U145">
        <f t="shared" si="23"/>
        <v>1.1880236493830595E-09</v>
      </c>
      <c r="AQ145" s="5">
        <v>1.17E-09</v>
      </c>
      <c r="AR145" s="5">
        <v>3.6506527164</v>
      </c>
      <c r="AS145" s="5">
        <v>45585.1728121874</v>
      </c>
      <c r="AT145">
        <f t="shared" si="25"/>
        <v>-8.615428411959291E-10</v>
      </c>
      <c r="BP145" s="5">
        <v>1.169E-08</v>
      </c>
      <c r="BQ145" s="5">
        <v>3.11664290862</v>
      </c>
      <c r="BR145" s="5">
        <v>14945.3161735544</v>
      </c>
      <c r="BS145">
        <f t="shared" si="26"/>
        <v>-4.313932452405529E-09</v>
      </c>
      <c r="BU145" s="5">
        <v>9.7E-10</v>
      </c>
      <c r="BV145" s="5">
        <v>3.97935904984</v>
      </c>
      <c r="BW145" s="5">
        <v>6133.5126528568</v>
      </c>
      <c r="BX145">
        <f t="shared" si="27"/>
        <v>-3.5846450778082233E-10</v>
      </c>
    </row>
    <row r="146" spans="13:76" ht="12.75">
      <c r="M146" s="5">
        <v>2.805E-08</v>
      </c>
      <c r="N146" s="5">
        <v>2.58504514144</v>
      </c>
      <c r="O146" s="5">
        <v>14314.1681130498</v>
      </c>
      <c r="P146">
        <f t="shared" si="22"/>
        <v>2.0689862556563043E-08</v>
      </c>
      <c r="R146" s="5">
        <v>2.45E-09</v>
      </c>
      <c r="S146" s="5">
        <v>5.70467521726</v>
      </c>
      <c r="T146" s="5">
        <v>65147.6197681377</v>
      </c>
      <c r="U146">
        <f t="shared" si="23"/>
        <v>-2.086548953059767E-09</v>
      </c>
      <c r="AQ146" s="5">
        <v>1.27E-09</v>
      </c>
      <c r="AR146" s="5">
        <v>4.74596574209</v>
      </c>
      <c r="AS146" s="5">
        <v>49515.382508407</v>
      </c>
      <c r="AT146">
        <f t="shared" si="25"/>
        <v>6.882894603588914E-10</v>
      </c>
      <c r="BP146" s="5">
        <v>1.202E-08</v>
      </c>
      <c r="BQ146" s="5">
        <v>4.02992510402</v>
      </c>
      <c r="BR146" s="5">
        <v>553.5694028424</v>
      </c>
      <c r="BS146">
        <f t="shared" si="26"/>
        <v>5.101927990603058E-09</v>
      </c>
      <c r="BU146" s="5">
        <v>1.1E-09</v>
      </c>
      <c r="BV146" s="5">
        <v>6.22339014386</v>
      </c>
      <c r="BW146" s="5">
        <v>12146.6670561076</v>
      </c>
      <c r="BX146">
        <f t="shared" si="27"/>
        <v>6.303473679379032E-10</v>
      </c>
    </row>
    <row r="147" spans="13:76" ht="12.75">
      <c r="M147" s="5">
        <v>3.65E-08</v>
      </c>
      <c r="N147" s="5">
        <v>1.08344142571</v>
      </c>
      <c r="O147" s="5">
        <v>88860.0570709866</v>
      </c>
      <c r="P147">
        <f t="shared" si="22"/>
        <v>-1.7387236283203128E-08</v>
      </c>
      <c r="R147" s="5">
        <v>2.41E-09</v>
      </c>
      <c r="S147" s="5">
        <v>0.99480969552</v>
      </c>
      <c r="T147" s="5">
        <v>3634.6210245184</v>
      </c>
      <c r="U147">
        <f t="shared" si="23"/>
        <v>1.9075559871448357E-09</v>
      </c>
      <c r="AQ147" s="5">
        <v>1.2E-09</v>
      </c>
      <c r="AR147" s="5">
        <v>1.04211499785</v>
      </c>
      <c r="AS147" s="5">
        <v>6915.8595893046</v>
      </c>
      <c r="AT147">
        <f t="shared" si="25"/>
        <v>9.132818119549325E-10</v>
      </c>
      <c r="BP147" s="5">
        <v>9.79E-09</v>
      </c>
      <c r="BQ147" s="5">
        <v>2.00000879212</v>
      </c>
      <c r="BR147" s="5">
        <v>15110.4661198662</v>
      </c>
      <c r="BS147">
        <f t="shared" si="26"/>
        <v>-9.740519820052695E-09</v>
      </c>
      <c r="BU147" s="5">
        <v>9.8E-10</v>
      </c>
      <c r="BV147" s="5">
        <v>0.87576563709</v>
      </c>
      <c r="BW147" s="5">
        <v>6525.8044539654</v>
      </c>
      <c r="BX147">
        <f t="shared" si="27"/>
        <v>9.616163361393955E-10</v>
      </c>
    </row>
    <row r="148" spans="13:76" ht="12.75">
      <c r="M148" s="5">
        <v>3.388E-08</v>
      </c>
      <c r="N148" s="5">
        <v>3.20185096055</v>
      </c>
      <c r="O148" s="5">
        <v>5120.6011455836</v>
      </c>
      <c r="P148">
        <f t="shared" si="22"/>
        <v>-2.858581371383743E-08</v>
      </c>
      <c r="R148" s="5">
        <v>2.46E-09</v>
      </c>
      <c r="S148" s="5">
        <v>3.06168069935</v>
      </c>
      <c r="T148" s="5">
        <v>110.2063212194</v>
      </c>
      <c r="U148">
        <f t="shared" si="23"/>
        <v>-4.324125674441217E-10</v>
      </c>
      <c r="AQ148" s="5">
        <v>1.2E-09</v>
      </c>
      <c r="AR148" s="5">
        <v>5.60638811846</v>
      </c>
      <c r="AS148" s="5">
        <v>5650.2921106782</v>
      </c>
      <c r="AT148">
        <f t="shared" si="25"/>
        <v>1.0518326901661292E-09</v>
      </c>
      <c r="BP148" s="5">
        <v>9.62E-09</v>
      </c>
      <c r="BQ148" s="5">
        <v>4.023807714</v>
      </c>
      <c r="BR148" s="5">
        <v>6282.0955289232</v>
      </c>
      <c r="BS148">
        <f t="shared" si="26"/>
        <v>9.587338435460441E-09</v>
      </c>
      <c r="BU148" s="5">
        <v>9.8E-10</v>
      </c>
      <c r="BV148" s="5">
        <v>3.15248421301</v>
      </c>
      <c r="BW148" s="5">
        <v>10440.2742926036</v>
      </c>
      <c r="BX148">
        <f t="shared" si="27"/>
        <v>-1.474222832433537E-10</v>
      </c>
    </row>
    <row r="149" spans="13:76" ht="12.75">
      <c r="M149" s="5">
        <v>3.252E-08</v>
      </c>
      <c r="N149" s="5">
        <v>3.47859752062</v>
      </c>
      <c r="O149" s="5">
        <v>6133.5126528568</v>
      </c>
      <c r="P149">
        <f t="shared" si="22"/>
        <v>-2.5049655540793726E-08</v>
      </c>
      <c r="R149" s="5">
        <v>2.39E-09</v>
      </c>
      <c r="S149" s="5">
        <v>6.11855909114</v>
      </c>
      <c r="T149" s="5">
        <v>11856.2186514245</v>
      </c>
      <c r="U149">
        <f t="shared" si="23"/>
        <v>5.629544923096406E-10</v>
      </c>
      <c r="AQ149" s="5">
        <v>1.15E-09</v>
      </c>
      <c r="AR149" s="5">
        <v>3.10668213289</v>
      </c>
      <c r="AS149" s="5">
        <v>14712.317116458</v>
      </c>
      <c r="AT149">
        <f t="shared" si="25"/>
        <v>4.4064480159726035E-10</v>
      </c>
      <c r="BP149" s="5">
        <v>9.99E-09</v>
      </c>
      <c r="BQ149" s="5">
        <v>3.6264300279</v>
      </c>
      <c r="BR149" s="5">
        <v>6262.300454499</v>
      </c>
      <c r="BS149">
        <f t="shared" si="26"/>
        <v>8.357846446341808E-09</v>
      </c>
      <c r="BU149" s="5">
        <v>9.5E-10</v>
      </c>
      <c r="BV149" s="5">
        <v>2.461684111</v>
      </c>
      <c r="BW149" s="5">
        <v>3097.88382272579</v>
      </c>
      <c r="BX149">
        <f t="shared" si="27"/>
        <v>9.464624704537072E-10</v>
      </c>
    </row>
    <row r="150" spans="13:76" ht="12.75">
      <c r="M150" s="5">
        <v>2.553E-08</v>
      </c>
      <c r="N150" s="5">
        <v>3.94869034189</v>
      </c>
      <c r="O150" s="5">
        <v>1990.745017041</v>
      </c>
      <c r="P150">
        <f t="shared" si="22"/>
        <v>1.7022016025611977E-08</v>
      </c>
      <c r="R150" s="5">
        <v>2.63E-09</v>
      </c>
      <c r="S150" s="5">
        <v>0.66348415419</v>
      </c>
      <c r="T150" s="5">
        <v>21228.3920235458</v>
      </c>
      <c r="U150">
        <f t="shared" si="23"/>
        <v>-7.261078342702764E-10</v>
      </c>
      <c r="AQ150" s="5">
        <v>9.9E-10</v>
      </c>
      <c r="AR150" s="5">
        <v>0.69018940049</v>
      </c>
      <c r="AS150" s="5">
        <v>12779.4507954208</v>
      </c>
      <c r="AT150">
        <f t="shared" si="25"/>
        <v>-3.8454103840841737E-10</v>
      </c>
      <c r="BP150" s="5">
        <v>1.03E-08</v>
      </c>
      <c r="BQ150" s="5">
        <v>5.84989900289</v>
      </c>
      <c r="BR150" s="5">
        <v>213.299095438</v>
      </c>
      <c r="BS150">
        <f t="shared" si="26"/>
        <v>-7.730018936455977E-09</v>
      </c>
      <c r="BU150" s="5">
        <v>8.8E-10</v>
      </c>
      <c r="BV150" s="5">
        <v>0.23371480284</v>
      </c>
      <c r="BW150" s="5">
        <v>13119.7211028251</v>
      </c>
      <c r="BX150">
        <f t="shared" si="27"/>
        <v>8.590165181529513E-10</v>
      </c>
    </row>
    <row r="151" spans="13:76" ht="12.75">
      <c r="M151" s="5">
        <v>3.52E-08</v>
      </c>
      <c r="N151" s="5">
        <v>2.05559692878</v>
      </c>
      <c r="O151" s="5">
        <v>244287.600007227</v>
      </c>
      <c r="P151">
        <f t="shared" si="22"/>
        <v>-1.9358555322391707E-08</v>
      </c>
      <c r="R151" s="5">
        <v>2.62E-09</v>
      </c>
      <c r="S151" s="5">
        <v>1.51070507866</v>
      </c>
      <c r="T151" s="5">
        <v>12146.6670561076</v>
      </c>
      <c r="U151">
        <f t="shared" si="23"/>
        <v>2.1476006169171497E-09</v>
      </c>
      <c r="AQ151" s="5">
        <v>9.7E-10</v>
      </c>
      <c r="AR151" s="5">
        <v>1.07908724794</v>
      </c>
      <c r="AS151" s="5">
        <v>9917.6968745098</v>
      </c>
      <c r="AT151">
        <f t="shared" si="25"/>
        <v>-2.0304889170802478E-10</v>
      </c>
      <c r="BP151" s="5">
        <v>1.014E-08</v>
      </c>
      <c r="BQ151" s="5">
        <v>2.84221578218</v>
      </c>
      <c r="BR151" s="5">
        <v>8662.240323563</v>
      </c>
      <c r="BS151">
        <f t="shared" si="26"/>
        <v>7.880858859029509E-09</v>
      </c>
      <c r="BU151" s="5">
        <v>9.8E-10</v>
      </c>
      <c r="BV151" s="5">
        <v>5.77016493489</v>
      </c>
      <c r="BW151" s="5">
        <v>7342.4577801806</v>
      </c>
      <c r="BX151">
        <f t="shared" si="27"/>
        <v>-9.352990033856992E-10</v>
      </c>
    </row>
    <row r="152" spans="13:76" ht="12.75">
      <c r="M152" s="5">
        <v>2.565E-08</v>
      </c>
      <c r="N152" s="5">
        <v>1.560717849</v>
      </c>
      <c r="O152" s="5">
        <v>23543.2305046817</v>
      </c>
      <c r="P152">
        <f t="shared" si="22"/>
        <v>-1.6952913079150036E-08</v>
      </c>
      <c r="R152" s="5">
        <v>2.3E-09</v>
      </c>
      <c r="S152" s="5">
        <v>1.75927314884</v>
      </c>
      <c r="T152" s="5">
        <v>9779.1086761254</v>
      </c>
      <c r="U152">
        <f t="shared" si="23"/>
        <v>1.8874940920387197E-09</v>
      </c>
      <c r="AQ152" s="5">
        <v>9.3E-10</v>
      </c>
      <c r="AR152" s="5">
        <v>2.62295197319</v>
      </c>
      <c r="AS152" s="5">
        <v>17260.1546546904</v>
      </c>
      <c r="AT152">
        <f t="shared" si="25"/>
        <v>5.023445509601951E-10</v>
      </c>
      <c r="BP152" s="5">
        <v>1.185E-08</v>
      </c>
      <c r="BQ152" s="5">
        <v>1.51330541132</v>
      </c>
      <c r="BR152" s="5">
        <v>17654.7805397496</v>
      </c>
      <c r="BS152">
        <f t="shared" si="26"/>
        <v>5.221162549064507E-09</v>
      </c>
      <c r="BU152" s="5">
        <v>9.2E-10</v>
      </c>
      <c r="BV152" s="5">
        <v>6.03915555063</v>
      </c>
      <c r="BW152" s="5">
        <v>20426.571092422</v>
      </c>
      <c r="BX152">
        <f t="shared" si="27"/>
        <v>-8.621225913809091E-10</v>
      </c>
    </row>
    <row r="153" spans="13:76" ht="12.75">
      <c r="M153" s="5">
        <v>2.621E-08</v>
      </c>
      <c r="N153" s="5">
        <v>3.85639359951</v>
      </c>
      <c r="O153" s="5">
        <v>266.6070417218</v>
      </c>
      <c r="P153">
        <f t="shared" si="22"/>
        <v>1.0966929790110967E-08</v>
      </c>
      <c r="R153" s="5">
        <v>2.23E-09</v>
      </c>
      <c r="S153" s="5">
        <v>2.00967043606</v>
      </c>
      <c r="T153" s="5">
        <v>6172.869528772</v>
      </c>
      <c r="U153">
        <f t="shared" si="23"/>
        <v>-2.1601115416153825E-09</v>
      </c>
      <c r="AQ153" s="5">
        <v>9.9E-10</v>
      </c>
      <c r="AR153" s="5">
        <v>4.45774681732</v>
      </c>
      <c r="AS153" s="5">
        <v>4933.2084403326</v>
      </c>
      <c r="AT153">
        <f t="shared" si="25"/>
        <v>2.413590708633267E-10</v>
      </c>
      <c r="BP153" s="5">
        <v>9.67E-09</v>
      </c>
      <c r="BQ153" s="5">
        <v>2.67081017562</v>
      </c>
      <c r="BR153" s="5">
        <v>5650.2921106782</v>
      </c>
      <c r="BS153">
        <f t="shared" si="26"/>
        <v>-9.248946854967178E-09</v>
      </c>
      <c r="BU153" s="5">
        <v>9.6E-10</v>
      </c>
      <c r="BV153" s="5">
        <v>5.56909292561</v>
      </c>
      <c r="BW153" s="5">
        <v>2388.8940204492</v>
      </c>
      <c r="BX153">
        <f t="shared" si="27"/>
        <v>9.447482618177935E-10</v>
      </c>
    </row>
    <row r="154" spans="13:76" ht="12.75">
      <c r="M154" s="5">
        <v>2.955E-08</v>
      </c>
      <c r="N154" s="5">
        <v>3.39692949667</v>
      </c>
      <c r="O154" s="5">
        <v>9225.539273283</v>
      </c>
      <c r="P154">
        <f t="shared" si="22"/>
        <v>1.273902766884631E-08</v>
      </c>
      <c r="R154" s="5">
        <v>2.46E-09</v>
      </c>
      <c r="S154" s="5">
        <v>1.10411690865</v>
      </c>
      <c r="T154" s="5">
        <v>6282.0955289232</v>
      </c>
      <c r="U154">
        <f t="shared" si="23"/>
        <v>-2.346958851067895E-09</v>
      </c>
      <c r="AQ154" s="5">
        <v>1.23E-09</v>
      </c>
      <c r="AR154" s="5">
        <v>1.37488922089</v>
      </c>
      <c r="AS154" s="5">
        <v>28286.9904848612</v>
      </c>
      <c r="AT154">
        <f t="shared" si="25"/>
        <v>-1.1238566396114871E-09</v>
      </c>
      <c r="BP154" s="5">
        <v>1.222E-08</v>
      </c>
      <c r="BQ154" s="5">
        <v>2.65423784904</v>
      </c>
      <c r="BR154" s="5">
        <v>88860.0570709866</v>
      </c>
      <c r="BS154">
        <f t="shared" si="26"/>
        <v>-1.0744421059051088E-08</v>
      </c>
      <c r="BU154" s="5">
        <v>8.1E-10</v>
      </c>
      <c r="BV154" s="5">
        <v>1.32131147691</v>
      </c>
      <c r="BW154" s="5">
        <v>5650.2921106782</v>
      </c>
      <c r="BX154">
        <f t="shared" si="27"/>
        <v>6.059974135684532E-11</v>
      </c>
    </row>
    <row r="155" spans="13:76" ht="12.75">
      <c r="M155" s="5">
        <v>2.876E-08</v>
      </c>
      <c r="N155" s="5">
        <v>6.02635617464</v>
      </c>
      <c r="O155" s="5">
        <v>154717.609887682</v>
      </c>
      <c r="P155">
        <f t="shared" si="22"/>
        <v>-1.0051045394347977E-08</v>
      </c>
      <c r="R155" s="5">
        <v>2.21E-09</v>
      </c>
      <c r="S155" s="5">
        <v>3.03945240854</v>
      </c>
      <c r="T155" s="5">
        <v>8635.9420037632</v>
      </c>
      <c r="U155">
        <f t="shared" si="23"/>
        <v>1.4831572875927235E-09</v>
      </c>
      <c r="AQ155" s="5">
        <v>1.21E-09</v>
      </c>
      <c r="AR155" s="5">
        <v>5.19767249813</v>
      </c>
      <c r="AS155" s="5">
        <v>27511.4678735372</v>
      </c>
      <c r="AT155">
        <f t="shared" si="25"/>
        <v>-9.369269270736577E-10</v>
      </c>
      <c r="BP155" s="5">
        <v>9.81E-09</v>
      </c>
      <c r="BQ155" s="5">
        <v>2.36370360283</v>
      </c>
      <c r="BR155" s="5">
        <v>6206.8097787158</v>
      </c>
      <c r="BS155">
        <f t="shared" si="26"/>
        <v>-8.327342809508756E-09</v>
      </c>
      <c r="BU155" s="5">
        <v>8.6E-10</v>
      </c>
      <c r="BV155" s="5">
        <v>3.94529200528</v>
      </c>
      <c r="BW155" s="5">
        <v>10454.5013866052</v>
      </c>
      <c r="BX155">
        <f t="shared" si="27"/>
        <v>6.358334684982427E-10</v>
      </c>
    </row>
    <row r="156" spans="13:76" ht="12.75">
      <c r="M156" s="5">
        <v>2.395E-08</v>
      </c>
      <c r="N156" s="5">
        <v>1.16131956403</v>
      </c>
      <c r="O156" s="5">
        <v>10984.1923516998</v>
      </c>
      <c r="P156">
        <f t="shared" si="22"/>
        <v>-2.1864939766057224E-08</v>
      </c>
      <c r="R156" s="5">
        <v>2.14E-09</v>
      </c>
      <c r="S156" s="5">
        <v>4.03840869663</v>
      </c>
      <c r="T156" s="5">
        <v>14314.1681130498</v>
      </c>
      <c r="U156">
        <f t="shared" si="23"/>
        <v>1.6199810904315417E-09</v>
      </c>
      <c r="AQ156" s="5">
        <v>1.05E-09</v>
      </c>
      <c r="AR156" s="5">
        <v>0.87192267806</v>
      </c>
      <c r="AS156" s="5">
        <v>77375.957204924</v>
      </c>
      <c r="AT156">
        <f t="shared" si="25"/>
        <v>6.125277434615075E-10</v>
      </c>
      <c r="BP156" s="5">
        <v>1.033E-08</v>
      </c>
      <c r="BQ156" s="5">
        <v>0.13874927606</v>
      </c>
      <c r="BR156" s="5">
        <v>11712.9553182308</v>
      </c>
      <c r="BS156">
        <f t="shared" si="26"/>
        <v>9.928388548787921E-09</v>
      </c>
      <c r="BU156" s="5">
        <v>7.6E-10</v>
      </c>
      <c r="BV156" s="5">
        <v>2.70729716925</v>
      </c>
      <c r="BW156" s="5">
        <v>143571.324284816</v>
      </c>
      <c r="BX156">
        <f t="shared" si="27"/>
        <v>7.206257666710049E-10</v>
      </c>
    </row>
    <row r="157" spans="13:76" ht="12.75">
      <c r="M157" s="5">
        <v>3.161E-08</v>
      </c>
      <c r="N157" s="5">
        <v>1.32798718453</v>
      </c>
      <c r="O157" s="5">
        <v>10873.9860304804</v>
      </c>
      <c r="P157">
        <f t="shared" si="22"/>
        <v>-1.9969735482705208E-08</v>
      </c>
      <c r="R157" s="5">
        <v>2.36E-09</v>
      </c>
      <c r="S157" s="5">
        <v>5.4691507058</v>
      </c>
      <c r="T157" s="5">
        <v>13916.0191096416</v>
      </c>
      <c r="U157">
        <f t="shared" si="23"/>
        <v>-2.3580327187936573E-09</v>
      </c>
      <c r="AQ157" s="5">
        <v>8.7E-10</v>
      </c>
      <c r="AR157" s="5">
        <v>3.9363781295</v>
      </c>
      <c r="AS157" s="5">
        <v>17654.7805397496</v>
      </c>
      <c r="AT157">
        <f t="shared" si="25"/>
        <v>2.2554959036209309E-10</v>
      </c>
      <c r="BP157" s="5">
        <v>1.103E-08</v>
      </c>
      <c r="BQ157" s="5">
        <v>3.08477302937</v>
      </c>
      <c r="BR157" s="5">
        <v>43232.3066584156</v>
      </c>
      <c r="BS157">
        <f t="shared" si="26"/>
        <v>-1.0945974193969439E-08</v>
      </c>
      <c r="BU157" s="5">
        <v>9.1E-10</v>
      </c>
      <c r="BV157" s="5">
        <v>5.64100034152</v>
      </c>
      <c r="BW157" s="5">
        <v>8827.3902698748</v>
      </c>
      <c r="BX157">
        <f t="shared" si="27"/>
        <v>-3.4201482556483483E-10</v>
      </c>
    </row>
    <row r="158" spans="13:76" ht="12.75">
      <c r="M158" s="5">
        <v>3.163E-08</v>
      </c>
      <c r="N158" s="5">
        <v>5.08946464629</v>
      </c>
      <c r="O158" s="5">
        <v>21228.3920235458</v>
      </c>
      <c r="P158">
        <f t="shared" si="22"/>
        <v>3.162929252386886E-08</v>
      </c>
      <c r="R158" s="5">
        <v>2.24E-09</v>
      </c>
      <c r="S158" s="5">
        <v>4.68408089456</v>
      </c>
      <c r="T158" s="5">
        <v>24072.9214697764</v>
      </c>
      <c r="U158">
        <f t="shared" si="23"/>
        <v>2.2351939204562295E-09</v>
      </c>
      <c r="AQ158" s="5">
        <v>1.22E-09</v>
      </c>
      <c r="AR158" s="5">
        <v>2.2395606868</v>
      </c>
      <c r="AS158" s="5">
        <v>83997.0911355953</v>
      </c>
      <c r="AT158">
        <f t="shared" si="25"/>
        <v>6.458002383731165E-10</v>
      </c>
      <c r="BP158" s="5">
        <v>7.81E-09</v>
      </c>
      <c r="BQ158" s="5">
        <v>2.53372735932</v>
      </c>
      <c r="BR158" s="5">
        <v>16496.3613962024</v>
      </c>
      <c r="BS158">
        <f t="shared" si="26"/>
        <v>-7.753863058346454E-09</v>
      </c>
      <c r="BU158" s="5">
        <v>7.6E-10</v>
      </c>
      <c r="BV158" s="5">
        <v>1.80783856698</v>
      </c>
      <c r="BW158" s="5">
        <v>28286.9904848612</v>
      </c>
      <c r="BX158">
        <f t="shared" si="27"/>
        <v>-7.599205275942226E-10</v>
      </c>
    </row>
    <row r="159" spans="13:76" ht="12.75">
      <c r="M159" s="5">
        <v>2.361E-08</v>
      </c>
      <c r="N159" s="5">
        <v>4.27212906992</v>
      </c>
      <c r="O159" s="5">
        <v>6040.3472460174</v>
      </c>
      <c r="P159">
        <f t="shared" si="22"/>
        <v>-2.2939167111343422E-08</v>
      </c>
      <c r="R159" s="5">
        <v>2.12E-09</v>
      </c>
      <c r="S159" s="5">
        <v>2.13695625494</v>
      </c>
      <c r="T159" s="5">
        <v>5849.3641121146</v>
      </c>
      <c r="U159">
        <f t="shared" si="23"/>
        <v>5.486189266281461E-10</v>
      </c>
      <c r="AQ159" s="5">
        <v>8.7E-10</v>
      </c>
      <c r="AR159" s="5">
        <v>4.18201600952</v>
      </c>
      <c r="AS159" s="5">
        <v>22779.4372461938</v>
      </c>
      <c r="AT159">
        <f t="shared" si="25"/>
        <v>4.834654100288215E-10</v>
      </c>
      <c r="BP159" s="5">
        <v>1.019E-08</v>
      </c>
      <c r="BQ159" s="5">
        <v>3.04569392376</v>
      </c>
      <c r="BR159" s="5">
        <v>6037.244203762</v>
      </c>
      <c r="BS159">
        <f t="shared" si="26"/>
        <v>-5.2548423724291685E-09</v>
      </c>
      <c r="BU159" s="5">
        <v>8.1E-10</v>
      </c>
      <c r="BV159" s="5">
        <v>1.90858992196</v>
      </c>
      <c r="BW159" s="5">
        <v>29088.811415985</v>
      </c>
      <c r="BX159">
        <f t="shared" si="27"/>
        <v>1.2583413616234356E-10</v>
      </c>
    </row>
    <row r="160" spans="13:76" ht="12.75">
      <c r="M160" s="5">
        <v>3.03E-08</v>
      </c>
      <c r="N160" s="5">
        <v>1.80209931347</v>
      </c>
      <c r="O160" s="5">
        <v>35371.8872659764</v>
      </c>
      <c r="P160">
        <f t="shared" si="22"/>
        <v>-2.627009170659722E-08</v>
      </c>
      <c r="R160" s="5">
        <v>2.07E-09</v>
      </c>
      <c r="S160" s="5">
        <v>3.07724246401</v>
      </c>
      <c r="T160" s="5">
        <v>11.729352836</v>
      </c>
      <c r="U160">
        <f t="shared" si="23"/>
        <v>-2.0611448086756366E-09</v>
      </c>
      <c r="AQ160" s="5">
        <v>1.04E-09</v>
      </c>
      <c r="AR160" s="5">
        <v>4.59580877295</v>
      </c>
      <c r="AS160" s="5">
        <v>1349.8674096588</v>
      </c>
      <c r="AT160">
        <f t="shared" si="25"/>
        <v>-8.221165993928444E-10</v>
      </c>
      <c r="BP160" s="5">
        <v>7.95E-09</v>
      </c>
      <c r="BQ160" s="5">
        <v>5.80662989111</v>
      </c>
      <c r="BR160" s="5">
        <v>5230.807466803</v>
      </c>
      <c r="BS160">
        <f t="shared" si="26"/>
        <v>7.410245175949682E-09</v>
      </c>
      <c r="BU160" s="5">
        <v>7.5E-10</v>
      </c>
      <c r="BV160" s="5">
        <v>3.40955892978</v>
      </c>
      <c r="BW160" s="5">
        <v>5481.2549188676</v>
      </c>
      <c r="BX160">
        <f t="shared" si="27"/>
        <v>1.8374618817751056E-10</v>
      </c>
    </row>
    <row r="161" spans="13:76" ht="12.75">
      <c r="M161" s="5">
        <v>2.343E-08</v>
      </c>
      <c r="N161" s="5">
        <v>3.576898605</v>
      </c>
      <c r="O161" s="5">
        <v>10969.9652576982</v>
      </c>
      <c r="P161">
        <f t="shared" si="22"/>
        <v>2.0607206284614006E-08</v>
      </c>
      <c r="R161" s="5">
        <v>2.07E-09</v>
      </c>
      <c r="S161" s="5">
        <v>6.10306282747</v>
      </c>
      <c r="T161" s="5">
        <v>23543.2305046817</v>
      </c>
      <c r="U161">
        <f t="shared" si="23"/>
        <v>1.7625405188887228E-09</v>
      </c>
      <c r="AQ161" s="5">
        <v>1.02E-09</v>
      </c>
      <c r="AR161" s="5">
        <v>2.83545248411</v>
      </c>
      <c r="AS161" s="5">
        <v>12352.8526045448</v>
      </c>
      <c r="AT161">
        <f t="shared" si="25"/>
        <v>-2.0383950537944075E-11</v>
      </c>
      <c r="BP161" s="5">
        <v>8.13E-09</v>
      </c>
      <c r="BQ161" s="5">
        <v>3.57710279439</v>
      </c>
      <c r="BR161" s="5">
        <v>10177.2576795336</v>
      </c>
      <c r="BS161">
        <f t="shared" si="26"/>
        <v>8.330623816486187E-10</v>
      </c>
      <c r="BU161" s="5">
        <v>6.9E-10</v>
      </c>
      <c r="BV161" s="5">
        <v>4.49936170873</v>
      </c>
      <c r="BW161" s="5">
        <v>17256.6315363414</v>
      </c>
      <c r="BX161">
        <f t="shared" si="27"/>
        <v>-6.566602870009563E-10</v>
      </c>
    </row>
    <row r="162" spans="13:76" ht="12.75">
      <c r="M162" s="5">
        <v>2.618E-08</v>
      </c>
      <c r="N162" s="5">
        <v>2.57870156528</v>
      </c>
      <c r="O162" s="5">
        <v>22483.8485744925</v>
      </c>
      <c r="P162">
        <f t="shared" si="22"/>
        <v>-3.5793429745584145E-09</v>
      </c>
      <c r="R162" s="5">
        <v>2.66E-09</v>
      </c>
      <c r="S162" s="5">
        <v>1.00709566823</v>
      </c>
      <c r="T162" s="5">
        <v>2388.8940204492</v>
      </c>
      <c r="U162">
        <f t="shared" si="23"/>
        <v>7.473357390614017E-11</v>
      </c>
      <c r="AQ162" s="5">
        <v>1.02E-09</v>
      </c>
      <c r="AR162" s="5">
        <v>3.97386522171</v>
      </c>
      <c r="AS162" s="5">
        <v>10818.1352869158</v>
      </c>
      <c r="AT162">
        <f t="shared" si="25"/>
        <v>-5.408645474965628E-10</v>
      </c>
      <c r="BP162" s="5">
        <v>9.62E-09</v>
      </c>
      <c r="BQ162" s="5">
        <v>5.31470594766</v>
      </c>
      <c r="BR162" s="5">
        <v>6284.0561710596</v>
      </c>
      <c r="BS162">
        <f t="shared" si="26"/>
        <v>1.6393614329984577E-09</v>
      </c>
      <c r="BU162" s="5">
        <v>8.8E-10</v>
      </c>
      <c r="BV162" s="5">
        <v>1.10098454357</v>
      </c>
      <c r="BW162" s="5">
        <v>11769.8536931664</v>
      </c>
      <c r="BX162">
        <f t="shared" si="27"/>
        <v>1.1172452332704198E-10</v>
      </c>
    </row>
    <row r="163" spans="13:76" ht="12.75">
      <c r="M163" s="5">
        <v>2.113E-08</v>
      </c>
      <c r="N163" s="5">
        <v>3.71393780256</v>
      </c>
      <c r="O163" s="5">
        <v>65147.6197681377</v>
      </c>
      <c r="P163">
        <f t="shared" si="22"/>
        <v>-2.7753015301945116E-09</v>
      </c>
      <c r="R163" s="5">
        <v>2.17E-09</v>
      </c>
      <c r="S163" s="5">
        <v>6.27837036335</v>
      </c>
      <c r="T163" s="5">
        <v>17267.2682016911</v>
      </c>
      <c r="U163">
        <f t="shared" si="23"/>
        <v>8.319443348083443E-11</v>
      </c>
      <c r="AQ163" s="5">
        <v>1.01E-09</v>
      </c>
      <c r="AR163" s="5">
        <v>4.32892825857</v>
      </c>
      <c r="AS163" s="5">
        <v>36147.4098773004</v>
      </c>
      <c r="AT163">
        <f t="shared" si="25"/>
        <v>-6.629765210326171E-10</v>
      </c>
      <c r="BP163" s="5">
        <v>7.21E-09</v>
      </c>
      <c r="BQ163" s="5">
        <v>5.96264301567</v>
      </c>
      <c r="BR163" s="5">
        <v>12559.038152982</v>
      </c>
      <c r="BS163">
        <f t="shared" si="26"/>
        <v>-2.9283784758567524E-09</v>
      </c>
      <c r="BU163" s="5">
        <v>6.6E-10</v>
      </c>
      <c r="BV163" s="5">
        <v>2.78285801977</v>
      </c>
      <c r="BW163" s="5">
        <v>536.8045120954</v>
      </c>
      <c r="BX163">
        <f t="shared" si="27"/>
        <v>-5.66813855444214E-10</v>
      </c>
    </row>
    <row r="164" spans="13:76" ht="12.75">
      <c r="M164" s="5">
        <v>2.019E-08</v>
      </c>
      <c r="N164" s="5">
        <v>0.81393923319</v>
      </c>
      <c r="O164" s="5">
        <v>170.6728706192</v>
      </c>
      <c r="P164">
        <f t="shared" si="22"/>
        <v>-2.0169652949988624E-08</v>
      </c>
      <c r="R164" s="5">
        <v>2.04E-09</v>
      </c>
      <c r="S164" s="5">
        <v>2.34615348695</v>
      </c>
      <c r="T164" s="5">
        <v>266.6070417218</v>
      </c>
      <c r="U164">
        <f t="shared" si="23"/>
        <v>1.9010946610504546E-09</v>
      </c>
      <c r="AQ164" s="5">
        <v>9.4E-10</v>
      </c>
      <c r="AR164" s="5">
        <v>5.00001709261</v>
      </c>
      <c r="AS164" s="5">
        <v>150192.214398004</v>
      </c>
      <c r="AT164">
        <f t="shared" si="25"/>
        <v>-9.380492823176953E-10</v>
      </c>
      <c r="BP164" s="5">
        <v>9.66E-09</v>
      </c>
      <c r="BQ164" s="5">
        <v>2.74714939953</v>
      </c>
      <c r="BR164" s="5">
        <v>6244.9428143536</v>
      </c>
      <c r="BS164">
        <f t="shared" si="26"/>
        <v>-1.159812551065125E-09</v>
      </c>
      <c r="BU164" s="5">
        <v>6.8E-10</v>
      </c>
      <c r="BV164" s="5">
        <v>3.88179770758</v>
      </c>
      <c r="BW164" s="5">
        <v>17260.1546546904</v>
      </c>
      <c r="BX164">
        <f t="shared" si="27"/>
        <v>-4.319131534536967E-10</v>
      </c>
    </row>
    <row r="165" spans="13:76" ht="12.75">
      <c r="M165" s="5">
        <v>2.003E-08</v>
      </c>
      <c r="N165" s="5">
        <v>0.38091017375</v>
      </c>
      <c r="O165" s="5">
        <v>6172.869528772</v>
      </c>
      <c r="P165">
        <f t="shared" si="22"/>
        <v>6.090915198922602E-09</v>
      </c>
      <c r="R165" s="5">
        <v>1.95E-09</v>
      </c>
      <c r="S165" s="5">
        <v>5.55015549753</v>
      </c>
      <c r="T165" s="5">
        <v>6133.5126528568</v>
      </c>
      <c r="U165">
        <f t="shared" si="23"/>
        <v>1.8119604323255915E-09</v>
      </c>
      <c r="AQ165" s="5">
        <v>7.7E-10</v>
      </c>
      <c r="AR165" s="5">
        <v>3.97199369296</v>
      </c>
      <c r="AS165" s="5">
        <v>1592.5960136328</v>
      </c>
      <c r="AT165">
        <f t="shared" si="25"/>
        <v>7.62437144441614E-10</v>
      </c>
      <c r="BP165" s="5">
        <v>9.21E-09</v>
      </c>
      <c r="BQ165" s="5">
        <v>0.10155275926</v>
      </c>
      <c r="BR165" s="5">
        <v>29088.811415985</v>
      </c>
      <c r="BS165">
        <f t="shared" si="26"/>
        <v>8.510606163810345E-09</v>
      </c>
      <c r="BU165" s="5">
        <v>8.4E-10</v>
      </c>
      <c r="BV165" s="5">
        <v>1.59303306354</v>
      </c>
      <c r="BW165" s="5">
        <v>9380.9596727172</v>
      </c>
      <c r="BX165">
        <f t="shared" si="27"/>
        <v>1.4282210078804856E-10</v>
      </c>
    </row>
    <row r="166" spans="13:76" ht="12.75">
      <c r="M166" s="5">
        <v>2.506E-08</v>
      </c>
      <c r="N166" s="5">
        <v>3.74379142438</v>
      </c>
      <c r="O166" s="5">
        <v>10575.4066829418</v>
      </c>
      <c r="P166">
        <f t="shared" si="22"/>
        <v>1.9534625289072998E-08</v>
      </c>
      <c r="R166" s="5">
        <v>1.88E-09</v>
      </c>
      <c r="S166" s="5">
        <v>2.52667166175</v>
      </c>
      <c r="T166" s="5">
        <v>6525.8044539654</v>
      </c>
      <c r="U166">
        <f t="shared" si="23"/>
        <v>-5.088951557805936E-10</v>
      </c>
      <c r="AQ166" s="5">
        <v>1E-09</v>
      </c>
      <c r="AR166" s="5">
        <v>6.07733097102</v>
      </c>
      <c r="AS166" s="5">
        <v>26735.9452622132</v>
      </c>
      <c r="AT166">
        <f t="shared" si="25"/>
        <v>7.293955849243997E-10</v>
      </c>
      <c r="BP166" s="5">
        <v>6.92E-09</v>
      </c>
      <c r="BQ166" s="5">
        <v>3.89764447548</v>
      </c>
      <c r="BR166" s="5">
        <v>1589.0728952838</v>
      </c>
      <c r="BS166">
        <f t="shared" si="26"/>
        <v>6.9187771058279555E-09</v>
      </c>
      <c r="BU166" s="5">
        <v>8.8E-10</v>
      </c>
      <c r="BV166" s="5">
        <v>3.88076636762</v>
      </c>
      <c r="BW166" s="5">
        <v>7477.522860216</v>
      </c>
      <c r="BX166">
        <f t="shared" si="27"/>
        <v>-8.587324538161972E-10</v>
      </c>
    </row>
    <row r="167" spans="13:76" ht="12.75">
      <c r="M167" s="5">
        <v>2.381E-08</v>
      </c>
      <c r="N167" s="5">
        <v>0.10581361289</v>
      </c>
      <c r="O167" s="5">
        <v>7.046236698</v>
      </c>
      <c r="P167">
        <f t="shared" si="22"/>
        <v>2.333511443056794E-08</v>
      </c>
      <c r="R167" s="5">
        <v>1.85E-09</v>
      </c>
      <c r="S167" s="5">
        <v>0.90960768344</v>
      </c>
      <c r="T167" s="5">
        <v>18319.5365848796</v>
      </c>
      <c r="U167">
        <f t="shared" si="23"/>
        <v>1.1648085811073226E-09</v>
      </c>
      <c r="AQ167" s="5">
        <v>8.6E-10</v>
      </c>
      <c r="AR167" s="5">
        <v>5.2602963825</v>
      </c>
      <c r="AS167" s="5">
        <v>28313.288804661</v>
      </c>
      <c r="AT167">
        <f t="shared" si="25"/>
        <v>6.702953404725496E-10</v>
      </c>
      <c r="BP167" s="5">
        <v>7.19E-09</v>
      </c>
      <c r="BQ167" s="5">
        <v>5.91791450402</v>
      </c>
      <c r="BR167" s="5">
        <v>4136.9104335162</v>
      </c>
      <c r="BS167">
        <f t="shared" si="26"/>
        <v>-8.514813705041773E-11</v>
      </c>
      <c r="BU167" s="5">
        <v>6.1E-10</v>
      </c>
      <c r="BV167" s="5">
        <v>6.17558202197</v>
      </c>
      <c r="BW167" s="5">
        <v>11087.2851259184</v>
      </c>
      <c r="BX167">
        <f t="shared" si="27"/>
        <v>-5.262171754484501E-10</v>
      </c>
    </row>
    <row r="168" spans="13:76" ht="12.75">
      <c r="M168" s="5">
        <v>1.949E-08</v>
      </c>
      <c r="N168" s="5">
        <v>4.86892513469</v>
      </c>
      <c r="O168" s="5">
        <v>36.0278666774</v>
      </c>
      <c r="P168">
        <f t="shared" si="22"/>
        <v>1.1614467231041174E-08</v>
      </c>
      <c r="R168" s="5">
        <v>1.77E-09</v>
      </c>
      <c r="S168" s="5">
        <v>1.73429218289</v>
      </c>
      <c r="T168" s="5">
        <v>154717.609887682</v>
      </c>
      <c r="U168">
        <f t="shared" si="23"/>
        <v>-1.2616223697717774E-09</v>
      </c>
      <c r="AQ168" s="5">
        <v>9.3E-10</v>
      </c>
      <c r="AR168" s="5">
        <v>4.31900620254</v>
      </c>
      <c r="AS168" s="5">
        <v>44809.6502008634</v>
      </c>
      <c r="AT168">
        <f t="shared" si="25"/>
        <v>8.318315684097073E-10</v>
      </c>
      <c r="BP168" s="5">
        <v>7.72E-09</v>
      </c>
      <c r="BQ168" s="5">
        <v>4.05505682353</v>
      </c>
      <c r="BR168" s="5">
        <v>6127.6554505572</v>
      </c>
      <c r="BS168">
        <f t="shared" si="26"/>
        <v>-2.8718798823252267E-09</v>
      </c>
      <c r="BU168" s="5">
        <v>6E-10</v>
      </c>
      <c r="BV168" s="5">
        <v>4.34824715818</v>
      </c>
      <c r="BW168" s="5">
        <v>6206.8097787158</v>
      </c>
      <c r="BX168">
        <f t="shared" si="27"/>
        <v>4.951733148767878E-10</v>
      </c>
    </row>
    <row r="169" spans="13:76" ht="12.75">
      <c r="M169" s="5">
        <v>2.074E-08</v>
      </c>
      <c r="N169" s="5">
        <v>4.2279477457</v>
      </c>
      <c r="O169" s="5">
        <v>5650.2921106782</v>
      </c>
      <c r="P169">
        <f t="shared" si="22"/>
        <v>-6.3237725797325575E-09</v>
      </c>
      <c r="R169" s="5">
        <v>1.87E-09</v>
      </c>
      <c r="S169" s="5">
        <v>4.76483647432</v>
      </c>
      <c r="T169" s="5">
        <v>4535.0594369244</v>
      </c>
      <c r="U169">
        <f t="shared" si="23"/>
        <v>-1.5922087157737863E-09</v>
      </c>
      <c r="AQ169" s="5">
        <v>7.6E-10</v>
      </c>
      <c r="AR169" s="5">
        <v>6.22743405935</v>
      </c>
      <c r="AS169" s="5">
        <v>13521.7514415914</v>
      </c>
      <c r="AT169">
        <f t="shared" si="25"/>
        <v>1.184525016163375E-10</v>
      </c>
      <c r="BP169" s="5">
        <v>7.12E-09</v>
      </c>
      <c r="BQ169" s="5">
        <v>5.49291532439</v>
      </c>
      <c r="BR169" s="5">
        <v>22003.9146348698</v>
      </c>
      <c r="BS169">
        <f t="shared" si="26"/>
        <v>-1.5966654091176918E-09</v>
      </c>
      <c r="BU169" s="5">
        <v>8.2E-10</v>
      </c>
      <c r="BV169" s="5">
        <v>4.59843208943</v>
      </c>
      <c r="BW169" s="5">
        <v>9388.0059094152</v>
      </c>
      <c r="BX169">
        <f t="shared" si="27"/>
        <v>-1.7318711084287817E-10</v>
      </c>
    </row>
    <row r="170" spans="13:76" ht="12.75">
      <c r="M170" s="5">
        <v>1.924E-08</v>
      </c>
      <c r="N170" s="5">
        <v>5.5946054986</v>
      </c>
      <c r="O170" s="5">
        <v>6282.0955289232</v>
      </c>
      <c r="P170">
        <f t="shared" si="22"/>
        <v>-1.584126086191982E-09</v>
      </c>
      <c r="R170" s="5">
        <v>1.86E-09</v>
      </c>
      <c r="S170" s="5">
        <v>4.63080493407</v>
      </c>
      <c r="T170" s="5">
        <v>10440.2742926036</v>
      </c>
      <c r="U170">
        <f t="shared" si="23"/>
        <v>1.8051392181379261E-09</v>
      </c>
      <c r="AQ170" s="5">
        <v>7.2E-10</v>
      </c>
      <c r="AR170" s="5">
        <v>1.55820597747</v>
      </c>
      <c r="AS170" s="5">
        <v>6256.7775301916</v>
      </c>
      <c r="AT170">
        <f t="shared" si="25"/>
        <v>-6.574860210717698E-10</v>
      </c>
      <c r="BP170" s="5">
        <v>6.72E-09</v>
      </c>
      <c r="BQ170" s="5">
        <v>1.60700490811</v>
      </c>
      <c r="BR170" s="5">
        <v>11087.2851259184</v>
      </c>
      <c r="BS170">
        <f t="shared" si="26"/>
        <v>4.1946931167511406E-09</v>
      </c>
      <c r="BU170" s="5">
        <v>7.9E-10</v>
      </c>
      <c r="BV170" s="5">
        <v>1.63131230601</v>
      </c>
      <c r="BW170" s="5">
        <v>4933.2084403326</v>
      </c>
      <c r="BX170">
        <f t="shared" si="27"/>
        <v>5.4371416759094315E-11</v>
      </c>
    </row>
    <row r="171" spans="13:76" ht="12.75">
      <c r="M171" s="5">
        <v>1.949E-08</v>
      </c>
      <c r="N171" s="5">
        <v>1.07002512703</v>
      </c>
      <c r="O171" s="5">
        <v>5230.807466803</v>
      </c>
      <c r="P171">
        <f t="shared" si="22"/>
        <v>-6.617032862646989E-09</v>
      </c>
      <c r="R171" s="5">
        <v>2.15E-09</v>
      </c>
      <c r="S171" s="5">
        <v>2.8125545456</v>
      </c>
      <c r="T171" s="5">
        <v>7342.4577801806</v>
      </c>
      <c r="U171">
        <f t="shared" si="23"/>
        <v>1.8998619332991894E-09</v>
      </c>
      <c r="AQ171" s="5">
        <v>8.2E-10</v>
      </c>
      <c r="AR171" s="5">
        <v>4.95202664555</v>
      </c>
      <c r="AS171" s="5">
        <v>10575.4066829418</v>
      </c>
      <c r="AT171">
        <f t="shared" si="25"/>
        <v>-2.5353907274576367E-10</v>
      </c>
      <c r="BP171" s="5">
        <v>6.9E-09</v>
      </c>
      <c r="BQ171" s="5">
        <v>4.50539825563</v>
      </c>
      <c r="BR171" s="5">
        <v>426.598190876</v>
      </c>
      <c r="BS171">
        <f t="shared" si="26"/>
        <v>-4.87422588725479E-09</v>
      </c>
      <c r="BU171" s="5">
        <v>7.8E-10</v>
      </c>
      <c r="BV171" s="5">
        <v>4.20905757484</v>
      </c>
      <c r="BW171" s="5">
        <v>5729.506447149</v>
      </c>
      <c r="BX171">
        <f t="shared" si="27"/>
        <v>5.206016894877091E-10</v>
      </c>
    </row>
    <row r="172" spans="13:76" ht="12.75">
      <c r="M172" s="5">
        <v>1.988E-08</v>
      </c>
      <c r="N172" s="5">
        <v>5.19736046771</v>
      </c>
      <c r="O172" s="5">
        <v>6262.300454499</v>
      </c>
      <c r="P172">
        <f t="shared" si="22"/>
        <v>1.088767073459449E-08</v>
      </c>
      <c r="R172" s="5">
        <v>1.72E-09</v>
      </c>
      <c r="S172" s="5">
        <v>1.45551888559</v>
      </c>
      <c r="T172" s="5">
        <v>9225.539273283</v>
      </c>
      <c r="U172">
        <f t="shared" si="23"/>
        <v>1.1780320371525448E-09</v>
      </c>
      <c r="AQ172" s="5">
        <v>8.2E-10</v>
      </c>
      <c r="AR172" s="5">
        <v>1.69647647075</v>
      </c>
      <c r="AS172" s="5">
        <v>1990.745017041</v>
      </c>
      <c r="AT172">
        <f t="shared" si="25"/>
        <v>-8.190391005465046E-10</v>
      </c>
      <c r="BP172" s="5">
        <v>8.54E-09</v>
      </c>
      <c r="BQ172" s="5">
        <v>3.26104981596</v>
      </c>
      <c r="BR172" s="5">
        <v>20426.571092422</v>
      </c>
      <c r="BS172">
        <f t="shared" si="26"/>
        <v>8.53979737020667E-09</v>
      </c>
      <c r="BU172" s="5">
        <v>5.7E-10</v>
      </c>
      <c r="BV172" s="5">
        <v>5.48157926651</v>
      </c>
      <c r="BW172" s="5">
        <v>18319.5365848796</v>
      </c>
      <c r="BX172">
        <f t="shared" si="27"/>
        <v>3.8824492484746346E-10</v>
      </c>
    </row>
    <row r="173" spans="13:76" ht="12.75">
      <c r="M173" s="5">
        <v>1.887E-08</v>
      </c>
      <c r="N173" s="5">
        <v>3.74365662683</v>
      </c>
      <c r="O173" s="5">
        <v>23.8784377478</v>
      </c>
      <c r="P173">
        <f t="shared" si="22"/>
        <v>-1.1410214059072837E-08</v>
      </c>
      <c r="R173" s="5">
        <v>1.62E-09</v>
      </c>
      <c r="S173" s="5">
        <v>3.30661909388</v>
      </c>
      <c r="T173" s="5">
        <v>639.897286314</v>
      </c>
      <c r="U173">
        <f t="shared" si="23"/>
        <v>1.2378889175866339E-09</v>
      </c>
      <c r="AQ173" s="5">
        <v>7.5E-10</v>
      </c>
      <c r="AR173" s="5">
        <v>2.29836095644</v>
      </c>
      <c r="AS173" s="5">
        <v>3634.6210245184</v>
      </c>
      <c r="AT173">
        <f t="shared" si="25"/>
        <v>5.988545794503449E-10</v>
      </c>
      <c r="BP173" s="5">
        <v>6.56E-09</v>
      </c>
      <c r="BQ173" s="5">
        <v>4.3241018294</v>
      </c>
      <c r="BR173" s="5">
        <v>16858.4825329332</v>
      </c>
      <c r="BS173">
        <f t="shared" si="26"/>
        <v>-5.8470812123225026E-09</v>
      </c>
      <c r="BU173" s="5">
        <v>6E-10</v>
      </c>
      <c r="BV173" s="5">
        <v>1.01261781084</v>
      </c>
      <c r="BW173" s="5">
        <v>12721.572099417</v>
      </c>
      <c r="BX173">
        <f t="shared" si="27"/>
        <v>3.1652564843843166E-11</v>
      </c>
    </row>
    <row r="174" spans="13:76" ht="12.75">
      <c r="M174" s="5">
        <v>1.787E-08</v>
      </c>
      <c r="N174" s="5">
        <v>1.25929682929</v>
      </c>
      <c r="O174" s="5">
        <v>12559.038152982</v>
      </c>
      <c r="P174">
        <f t="shared" si="22"/>
        <v>1.6394644016046948E-08</v>
      </c>
      <c r="R174" s="5">
        <v>1.68E-09</v>
      </c>
      <c r="S174" s="5">
        <v>2.17671416605</v>
      </c>
      <c r="T174" s="5">
        <v>27.4015560968</v>
      </c>
      <c r="U174">
        <f t="shared" si="23"/>
        <v>-1.38809697948347E-09</v>
      </c>
      <c r="AQ174" s="5">
        <v>7.5E-10</v>
      </c>
      <c r="AR174" s="5">
        <v>2.66367876557</v>
      </c>
      <c r="AS174" s="5">
        <v>16200.7727245012</v>
      </c>
      <c r="AT174">
        <f t="shared" si="25"/>
        <v>6.346462001493958E-10</v>
      </c>
      <c r="BP174" s="5">
        <v>8.4E-09</v>
      </c>
      <c r="BQ174" s="5">
        <v>2.59572585222</v>
      </c>
      <c r="BR174" s="5">
        <v>28766.924424484</v>
      </c>
      <c r="BS174">
        <f t="shared" si="26"/>
        <v>-4.965782519008671E-09</v>
      </c>
      <c r="BU174" s="5">
        <v>5.6E-10</v>
      </c>
      <c r="BV174" s="5">
        <v>1.63031935692</v>
      </c>
      <c r="BW174" s="5">
        <v>15720.8387848784</v>
      </c>
      <c r="BX174">
        <f t="shared" si="27"/>
        <v>-8.94952230385078E-11</v>
      </c>
    </row>
    <row r="175" spans="13:76" ht="12.75">
      <c r="M175" s="5">
        <v>1.883E-08</v>
      </c>
      <c r="N175" s="5">
        <v>1.90364058477</v>
      </c>
      <c r="O175" s="5">
        <v>15.252471185</v>
      </c>
      <c r="P175">
        <f t="shared" si="22"/>
        <v>-9.630201760860547E-09</v>
      </c>
      <c r="R175" s="5">
        <v>1.6E-09</v>
      </c>
      <c r="S175" s="5">
        <v>1.68164180475</v>
      </c>
      <c r="T175" s="5">
        <v>15110.4661198662</v>
      </c>
      <c r="U175">
        <f t="shared" si="23"/>
        <v>-1.4616268782533732E-09</v>
      </c>
      <c r="AQ175" s="5">
        <v>8.7E-10</v>
      </c>
      <c r="AR175" s="5">
        <v>0.26630214764</v>
      </c>
      <c r="AS175" s="5">
        <v>31441.6775697568</v>
      </c>
      <c r="AT175">
        <f t="shared" si="25"/>
        <v>8.56901343073113E-10</v>
      </c>
      <c r="BP175" s="5">
        <v>6.92E-09</v>
      </c>
      <c r="BQ175" s="5">
        <v>0.61650089011</v>
      </c>
      <c r="BR175" s="5">
        <v>11403.676995575</v>
      </c>
      <c r="BS175">
        <f t="shared" si="26"/>
        <v>-4.835971696374218E-09</v>
      </c>
      <c r="BU175" s="5">
        <v>5.5E-10</v>
      </c>
      <c r="BV175" s="5">
        <v>0.24926735018</v>
      </c>
      <c r="BW175" s="5">
        <v>15110.4661198662</v>
      </c>
      <c r="BX175">
        <f t="shared" si="27"/>
        <v>1.5227446611698856E-10</v>
      </c>
    </row>
    <row r="176" spans="13:76" ht="12.75">
      <c r="M176" s="5">
        <v>1.816E-08</v>
      </c>
      <c r="N176" s="5">
        <v>3.68083868442</v>
      </c>
      <c r="O176" s="5">
        <v>15110.4661198662</v>
      </c>
      <c r="P176">
        <f t="shared" si="22"/>
        <v>1.7162901771678103E-10</v>
      </c>
      <c r="R176" s="5">
        <v>1.58E-09</v>
      </c>
      <c r="S176" s="5">
        <v>0.13519771874</v>
      </c>
      <c r="T176" s="5">
        <v>13095.8426650774</v>
      </c>
      <c r="U176">
        <f t="shared" si="23"/>
        <v>1.2704106875248435E-09</v>
      </c>
      <c r="AQ176" s="5">
        <v>7.7E-10</v>
      </c>
      <c r="AR176" s="5">
        <v>2.25530954137</v>
      </c>
      <c r="AS176" s="5">
        <v>5235.3285382367</v>
      </c>
      <c r="AT176">
        <f t="shared" si="25"/>
        <v>-7.698244734434562E-10</v>
      </c>
      <c r="BP176" s="5">
        <v>7E-09</v>
      </c>
      <c r="BQ176" s="5">
        <v>3.40901167143</v>
      </c>
      <c r="BR176" s="5">
        <v>7.1135470008</v>
      </c>
      <c r="BS176">
        <f t="shared" si="26"/>
        <v>-6.5449363033435554E-09</v>
      </c>
      <c r="BU176" s="5">
        <v>6.1E-10</v>
      </c>
      <c r="BV176" s="5">
        <v>5.93059279661</v>
      </c>
      <c r="BW176" s="5">
        <v>12539.853380183</v>
      </c>
      <c r="BX176">
        <f t="shared" si="27"/>
        <v>-3.9617784585013496E-10</v>
      </c>
    </row>
    <row r="177" spans="13:76" ht="12.75">
      <c r="M177" s="5">
        <v>1.701E-08</v>
      </c>
      <c r="N177" s="5">
        <v>4.4110589538</v>
      </c>
      <c r="O177" s="5">
        <v>110.2063212194</v>
      </c>
      <c r="P177">
        <f t="shared" si="22"/>
        <v>1.567971549228295E-08</v>
      </c>
      <c r="R177" s="5">
        <v>1.83E-09</v>
      </c>
      <c r="S177" s="5">
        <v>0.56281322071</v>
      </c>
      <c r="T177" s="5">
        <v>13517.8701062334</v>
      </c>
      <c r="U177">
        <f t="shared" si="23"/>
        <v>1.2109990836520763E-09</v>
      </c>
      <c r="AQ177" s="5">
        <v>7.6E-10</v>
      </c>
      <c r="AR177" s="5">
        <v>1.09869730846</v>
      </c>
      <c r="AS177" s="5">
        <v>12903.9659631792</v>
      </c>
      <c r="AT177">
        <f t="shared" si="25"/>
        <v>-4.71215447460869E-10</v>
      </c>
      <c r="BP177" s="5">
        <v>7.26E-09</v>
      </c>
      <c r="BQ177" s="5">
        <v>0.04243053594</v>
      </c>
      <c r="BR177" s="5">
        <v>5481.2549188676</v>
      </c>
      <c r="BS177">
        <f t="shared" si="26"/>
        <v>-3.3076823365040212E-09</v>
      </c>
      <c r="BU177" s="5">
        <v>5.5E-10</v>
      </c>
      <c r="BV177" s="5">
        <v>4.84298966314</v>
      </c>
      <c r="BW177" s="5">
        <v>13095.8426650774</v>
      </c>
      <c r="BX177">
        <f t="shared" si="27"/>
        <v>-3.290329169048816E-10</v>
      </c>
    </row>
    <row r="178" spans="13:76" ht="12.75">
      <c r="M178" s="5">
        <v>1.99E-08</v>
      </c>
      <c r="N178" s="5">
        <v>3.93295788548</v>
      </c>
      <c r="O178" s="5">
        <v>6206.8097787158</v>
      </c>
      <c r="P178">
        <f t="shared" si="22"/>
        <v>1.0493346101002946E-08</v>
      </c>
      <c r="R178" s="5">
        <v>1.79E-09</v>
      </c>
      <c r="S178" s="5">
        <v>3.58450811616</v>
      </c>
      <c r="T178" s="5">
        <v>87.30820453981</v>
      </c>
      <c r="U178">
        <f t="shared" si="23"/>
        <v>7.13465217895627E-11</v>
      </c>
      <c r="AQ178" s="5">
        <v>5.8E-10</v>
      </c>
      <c r="AR178" s="5">
        <v>4.28246138307</v>
      </c>
      <c r="AS178" s="5">
        <v>12559.038152982</v>
      </c>
      <c r="AT178">
        <f t="shared" si="25"/>
        <v>-5.011222231428829E-10</v>
      </c>
      <c r="BP178" s="5">
        <v>5.57E-09</v>
      </c>
      <c r="BQ178" s="5">
        <v>4.78317696534</v>
      </c>
      <c r="BR178" s="5">
        <v>20199.094959633</v>
      </c>
      <c r="BS178">
        <f t="shared" si="26"/>
        <v>3.1905418676658805E-10</v>
      </c>
      <c r="BU178" s="5">
        <v>6.7E-10</v>
      </c>
      <c r="BV178" s="5">
        <v>6.11690589247</v>
      </c>
      <c r="BW178" s="5">
        <v>8662.240323563</v>
      </c>
      <c r="BX178">
        <f t="shared" si="27"/>
        <v>-5.72069641301288E-10</v>
      </c>
    </row>
    <row r="179" spans="13:76" ht="12.75">
      <c r="M179" s="5">
        <v>2.103E-08</v>
      </c>
      <c r="N179" s="5">
        <v>0.75354917468</v>
      </c>
      <c r="O179" s="5">
        <v>13521.7514415914</v>
      </c>
      <c r="P179">
        <f t="shared" si="22"/>
        <v>1.729722708175655E-08</v>
      </c>
      <c r="R179" s="5">
        <v>1.52E-09</v>
      </c>
      <c r="S179" s="5">
        <v>2.84070476818</v>
      </c>
      <c r="T179" s="5">
        <v>5650.2921106782</v>
      </c>
      <c r="U179">
        <f t="shared" si="23"/>
        <v>-1.5078952159168179E-09</v>
      </c>
      <c r="AQ179" s="5">
        <v>6.4E-10</v>
      </c>
      <c r="AR179" s="5">
        <v>5.51112830114</v>
      </c>
      <c r="AS179" s="5">
        <v>173904.651700853</v>
      </c>
      <c r="AT179">
        <f t="shared" si="25"/>
        <v>5.819410543090496E-10</v>
      </c>
      <c r="BP179" s="5">
        <v>6.49E-09</v>
      </c>
      <c r="BQ179" s="5">
        <v>1.04027912958</v>
      </c>
      <c r="BR179" s="5">
        <v>6062.6632075526</v>
      </c>
      <c r="BS179">
        <f t="shared" si="26"/>
        <v>5.851867658023358E-09</v>
      </c>
      <c r="BU179" s="5">
        <v>5.4E-10</v>
      </c>
      <c r="BV179" s="5">
        <v>5.73750638571</v>
      </c>
      <c r="BW179" s="5">
        <v>3634.6210245184</v>
      </c>
      <c r="BX179">
        <f t="shared" si="27"/>
        <v>-3.1691578313345606E-10</v>
      </c>
    </row>
    <row r="180" spans="13:76" ht="12.75">
      <c r="M180" s="5">
        <v>1.774E-08</v>
      </c>
      <c r="N180" s="5">
        <v>0.48747535361</v>
      </c>
      <c r="O180" s="5">
        <v>1551.045222648</v>
      </c>
      <c r="P180">
        <f t="shared" si="22"/>
        <v>-1.2878159202834143E-08</v>
      </c>
      <c r="R180" s="5">
        <v>1.82E-09</v>
      </c>
      <c r="S180" s="5">
        <v>0.44065530624</v>
      </c>
      <c r="T180" s="5">
        <v>17253.0411076895</v>
      </c>
      <c r="U180">
        <f t="shared" si="23"/>
        <v>5.265866397781843E-10</v>
      </c>
      <c r="AQ180" s="5">
        <v>5.6E-10</v>
      </c>
      <c r="AR180" s="5">
        <v>2.60133794851</v>
      </c>
      <c r="AS180" s="5">
        <v>73188.3759784421</v>
      </c>
      <c r="AT180">
        <f t="shared" si="25"/>
        <v>1.3836891416361748E-10</v>
      </c>
      <c r="BP180" s="5">
        <v>6.33E-09</v>
      </c>
      <c r="BQ180" s="5">
        <v>5.70229959167</v>
      </c>
      <c r="BR180" s="5">
        <v>45892.7304331569</v>
      </c>
      <c r="BS180">
        <f t="shared" si="26"/>
        <v>-5.132753776893772E-09</v>
      </c>
      <c r="BU180" s="5">
        <v>7.4E-10</v>
      </c>
      <c r="BV180" s="5">
        <v>1.05466745829</v>
      </c>
      <c r="BW180" s="5">
        <v>16460.3335295249</v>
      </c>
      <c r="BX180">
        <f t="shared" si="27"/>
        <v>1.975002872498752E-10</v>
      </c>
    </row>
    <row r="181" spans="13:76" ht="12.75">
      <c r="M181" s="5">
        <v>1.882E-08</v>
      </c>
      <c r="N181" s="5">
        <v>0.86684493432</v>
      </c>
      <c r="O181" s="5">
        <v>22003.9146348698</v>
      </c>
      <c r="P181">
        <f t="shared" si="22"/>
        <v>1.8636244191410365E-08</v>
      </c>
      <c r="R181" s="5">
        <v>1.6E-09</v>
      </c>
      <c r="S181" s="5">
        <v>5.95767264171</v>
      </c>
      <c r="T181" s="5">
        <v>4701.1165017084</v>
      </c>
      <c r="U181">
        <f t="shared" si="23"/>
        <v>1.537779974482312E-09</v>
      </c>
      <c r="AQ181" s="5">
        <v>5.5E-10</v>
      </c>
      <c r="AR181" s="5">
        <v>5.81483150022</v>
      </c>
      <c r="AS181" s="5">
        <v>143233.51002162</v>
      </c>
      <c r="AT181">
        <f t="shared" si="25"/>
        <v>2.556143794276917E-10</v>
      </c>
      <c r="BP181" s="5">
        <v>5.92E-09</v>
      </c>
      <c r="BQ181" s="5">
        <v>6.11836729658</v>
      </c>
      <c r="BR181" s="5">
        <v>9623.6882766912</v>
      </c>
      <c r="BS181">
        <f t="shared" si="26"/>
        <v>-5.7315395949195395E-09</v>
      </c>
      <c r="BU181" s="5">
        <v>5.3E-10</v>
      </c>
      <c r="BV181" s="5">
        <v>2.29084335688</v>
      </c>
      <c r="BW181" s="5">
        <v>16062.1845261168</v>
      </c>
      <c r="BX181">
        <f t="shared" si="27"/>
        <v>-4.972938306410187E-10</v>
      </c>
    </row>
    <row r="182" spans="13:76" ht="12.75">
      <c r="M182" s="5">
        <v>1.924E-08</v>
      </c>
      <c r="N182" s="5">
        <v>1.22898324132</v>
      </c>
      <c r="O182" s="5">
        <v>709.9330485583</v>
      </c>
      <c r="P182">
        <f t="shared" si="22"/>
        <v>-5.15444851267452E-09</v>
      </c>
      <c r="R182" s="5">
        <v>1.42E-09</v>
      </c>
      <c r="S182" s="5">
        <v>1.4629013752</v>
      </c>
      <c r="T182" s="5">
        <v>11087.2851259184</v>
      </c>
      <c r="U182">
        <f t="shared" si="23"/>
        <v>7.178778842580744E-10</v>
      </c>
      <c r="AQ182" s="5">
        <v>5.4E-10</v>
      </c>
      <c r="AR182" s="5">
        <v>3.38482031504</v>
      </c>
      <c r="AS182" s="5">
        <v>323049.118787102</v>
      </c>
      <c r="AT182">
        <f t="shared" si="25"/>
        <v>1.2097760227873955E-10</v>
      </c>
      <c r="BP182" s="5">
        <v>5.23E-09</v>
      </c>
      <c r="BQ182" s="5">
        <v>3.62840021266</v>
      </c>
      <c r="BR182" s="5">
        <v>5333.9002410216</v>
      </c>
      <c r="BS182">
        <f t="shared" si="26"/>
        <v>4.756612417534561E-09</v>
      </c>
      <c r="BU182" s="5">
        <v>6.4E-10</v>
      </c>
      <c r="BV182" s="5">
        <v>2.13513767927</v>
      </c>
      <c r="BW182" s="5">
        <v>7875.6718636242</v>
      </c>
      <c r="BX182">
        <f t="shared" si="27"/>
        <v>5.062490213107244E-10</v>
      </c>
    </row>
    <row r="183" spans="13:76" ht="12.75">
      <c r="M183" s="5">
        <v>2.009E-08</v>
      </c>
      <c r="N183" s="5">
        <v>4.6285092198</v>
      </c>
      <c r="O183" s="5">
        <v>6037.244203762</v>
      </c>
      <c r="P183">
        <f t="shared" si="22"/>
        <v>-1.70869022960378E-08</v>
      </c>
      <c r="R183" s="5">
        <v>1.42E-09</v>
      </c>
      <c r="S183" s="5">
        <v>2.04464036087</v>
      </c>
      <c r="T183" s="5">
        <v>20426.571092422</v>
      </c>
      <c r="U183">
        <f t="shared" si="23"/>
        <v>5.01924232206836E-10</v>
      </c>
      <c r="AQ183" s="5">
        <v>3.9E-10</v>
      </c>
      <c r="AR183" s="5">
        <v>3.28500401343</v>
      </c>
      <c r="AS183" s="5">
        <v>71768.5098813254</v>
      </c>
      <c r="AT183">
        <f t="shared" si="25"/>
        <v>-1.1256647511374252E-10</v>
      </c>
      <c r="BP183" s="5">
        <v>6.04E-09</v>
      </c>
      <c r="BQ183" s="5">
        <v>5.57734696185</v>
      </c>
      <c r="BR183" s="5">
        <v>10344.2950653858</v>
      </c>
      <c r="BS183">
        <f t="shared" si="26"/>
        <v>5.050039717147338E-09</v>
      </c>
      <c r="BU183" s="5">
        <v>6.7E-10</v>
      </c>
      <c r="BV183" s="5">
        <v>0.07096807518</v>
      </c>
      <c r="BW183" s="5">
        <v>14945.3161735544</v>
      </c>
      <c r="BX183">
        <f t="shared" si="27"/>
        <v>3.0574945690565115E-10</v>
      </c>
    </row>
    <row r="184" spans="13:76" ht="12.75">
      <c r="M184" s="5">
        <v>1.924E-08</v>
      </c>
      <c r="N184" s="5">
        <v>0.60231842508</v>
      </c>
      <c r="O184" s="5">
        <v>6284.0561710596</v>
      </c>
      <c r="P184">
        <f t="shared" si="22"/>
        <v>-1.8958580052347718E-08</v>
      </c>
      <c r="R184" s="5">
        <v>1.31E-09</v>
      </c>
      <c r="S184" s="5">
        <v>5.40912137746</v>
      </c>
      <c r="T184" s="5">
        <v>2699.7348193176</v>
      </c>
      <c r="U184">
        <f t="shared" si="23"/>
        <v>-1.020717491059022E-09</v>
      </c>
      <c r="AQ184" s="5">
        <v>3.9E-10</v>
      </c>
      <c r="AR184" s="5">
        <v>3.1123991069</v>
      </c>
      <c r="AS184" s="5">
        <v>96900.813281291</v>
      </c>
      <c r="AT184">
        <f t="shared" si="25"/>
        <v>4.4782224985656524E-11</v>
      </c>
      <c r="BP184" s="5">
        <v>4.96E-09</v>
      </c>
      <c r="BQ184" s="5">
        <v>2.21023499449</v>
      </c>
      <c r="BR184" s="5">
        <v>1990.745017041</v>
      </c>
      <c r="BS184">
        <f t="shared" si="26"/>
        <v>-4.196646073320404E-09</v>
      </c>
      <c r="BU184" s="5">
        <v>5.1E-10</v>
      </c>
      <c r="BV184" s="5">
        <v>2.31511194429</v>
      </c>
      <c r="BW184" s="5">
        <v>6262.7205305926</v>
      </c>
      <c r="BX184">
        <f t="shared" si="27"/>
        <v>-1.5781908388783011E-10</v>
      </c>
    </row>
    <row r="185" spans="13:76" ht="12.75">
      <c r="M185" s="5">
        <v>1.596E-08</v>
      </c>
      <c r="N185" s="5">
        <v>3.98332956992</v>
      </c>
      <c r="O185" s="5">
        <v>13916.0191096416</v>
      </c>
      <c r="P185">
        <f t="shared" si="22"/>
        <v>-7.042639516901259E-10</v>
      </c>
      <c r="R185" s="5">
        <v>1.44E-09</v>
      </c>
      <c r="S185" s="5">
        <v>2.07312090485</v>
      </c>
      <c r="T185" s="5">
        <v>25158.6017197654</v>
      </c>
      <c r="U185">
        <f t="shared" si="23"/>
        <v>1.080847806557667E-09</v>
      </c>
      <c r="BP185" s="5">
        <v>6.91E-09</v>
      </c>
      <c r="BQ185" s="5">
        <v>1.96071732602</v>
      </c>
      <c r="BR185" s="5">
        <v>12416.5885028482</v>
      </c>
      <c r="BS185">
        <f t="shared" si="26"/>
        <v>-2.918691360390395E-10</v>
      </c>
      <c r="BU185" s="5">
        <v>5.7E-10</v>
      </c>
      <c r="BV185" s="5">
        <v>5.77055471237</v>
      </c>
      <c r="BW185" s="5">
        <v>12043.574281889</v>
      </c>
      <c r="BX185">
        <f t="shared" si="27"/>
        <v>-5.355779125378138E-10</v>
      </c>
    </row>
    <row r="186" spans="13:76" ht="12.75">
      <c r="M186" s="5">
        <v>1.664E-08</v>
      </c>
      <c r="N186" s="5">
        <v>4.41939715469</v>
      </c>
      <c r="O186" s="5">
        <v>8662.240323563</v>
      </c>
      <c r="P186">
        <f t="shared" si="22"/>
        <v>1.0387889000810646E-08</v>
      </c>
      <c r="R186" s="5">
        <v>1.47E-09</v>
      </c>
      <c r="S186" s="5">
        <v>6.15106982168</v>
      </c>
      <c r="T186" s="5">
        <v>9623.6882766912</v>
      </c>
      <c r="U186">
        <f t="shared" si="23"/>
        <v>-1.4344732718001537E-09</v>
      </c>
      <c r="BP186" s="5">
        <v>6.4E-09</v>
      </c>
      <c r="BQ186" s="5">
        <v>1.59074172032</v>
      </c>
      <c r="BR186" s="5">
        <v>18319.5365848796</v>
      </c>
      <c r="BS186">
        <f t="shared" si="26"/>
        <v>-3.967102720393987E-13</v>
      </c>
      <c r="BU186" s="5">
        <v>5.6E-10</v>
      </c>
      <c r="BV186" s="5">
        <v>4.41980790431</v>
      </c>
      <c r="BW186" s="5">
        <v>4701.1165017084</v>
      </c>
      <c r="BX186">
        <f t="shared" si="27"/>
        <v>-1.368428412566114E-10</v>
      </c>
    </row>
    <row r="187" spans="13:76" ht="12.75">
      <c r="M187" s="5">
        <v>1.971E-08</v>
      </c>
      <c r="N187" s="5">
        <v>1.04560500503</v>
      </c>
      <c r="O187" s="5">
        <v>18209.3302636601</v>
      </c>
      <c r="P187">
        <f t="shared" si="22"/>
        <v>1.7762436235256933E-08</v>
      </c>
      <c r="R187" s="5">
        <v>1.41E-09</v>
      </c>
      <c r="S187" s="5">
        <v>5.55739979498</v>
      </c>
      <c r="T187" s="5">
        <v>10454.5013866052</v>
      </c>
      <c r="U187">
        <f t="shared" si="23"/>
        <v>9.055328144276002E-10</v>
      </c>
      <c r="BP187" s="5">
        <v>6.25E-09</v>
      </c>
      <c r="BQ187" s="5">
        <v>3.82362791378</v>
      </c>
      <c r="BR187" s="5">
        <v>13517.8701062334</v>
      </c>
      <c r="BS187">
        <f t="shared" si="26"/>
        <v>-4.66389364296656E-09</v>
      </c>
      <c r="BU187" s="5">
        <v>5.9E-10</v>
      </c>
      <c r="BV187" s="5">
        <v>5.87963500073</v>
      </c>
      <c r="BW187" s="5">
        <v>5331.3574437408</v>
      </c>
      <c r="BX187">
        <f t="shared" si="27"/>
        <v>-1.274184355611835E-10</v>
      </c>
    </row>
    <row r="188" spans="13:76" ht="12.75">
      <c r="M188" s="5">
        <v>1.942E-08</v>
      </c>
      <c r="N188" s="5">
        <v>4.31335979989</v>
      </c>
      <c r="O188" s="5">
        <v>6244.9428143536</v>
      </c>
      <c r="P188">
        <f t="shared" si="22"/>
        <v>1.9268624704178516E-08</v>
      </c>
      <c r="R188" s="5">
        <v>1.35E-09</v>
      </c>
      <c r="S188" s="5">
        <v>0.06098110407</v>
      </c>
      <c r="T188" s="5">
        <v>16723.350142595</v>
      </c>
      <c r="U188">
        <f t="shared" si="23"/>
        <v>-1.0469968096704135E-09</v>
      </c>
      <c r="BP188" s="5">
        <v>6.63E-09</v>
      </c>
      <c r="BQ188" s="5">
        <v>5.08444996779</v>
      </c>
      <c r="BR188" s="5">
        <v>283.8593188652</v>
      </c>
      <c r="BS188">
        <f t="shared" si="26"/>
        <v>-5.6739532455375095E-09</v>
      </c>
      <c r="BU188" s="5">
        <v>5.8E-10</v>
      </c>
      <c r="BV188" s="5">
        <v>2.30546168628</v>
      </c>
      <c r="BW188" s="5">
        <v>955.5997416086</v>
      </c>
      <c r="BX188">
        <f t="shared" si="27"/>
        <v>-4.716019646586299E-10</v>
      </c>
    </row>
    <row r="189" spans="13:76" ht="12.75">
      <c r="M189" s="5">
        <v>1.476E-08</v>
      </c>
      <c r="N189" s="5">
        <v>0.93271367331</v>
      </c>
      <c r="O189" s="5">
        <v>2379.1644735716</v>
      </c>
      <c r="P189">
        <f t="shared" si="22"/>
        <v>3.4025033016190257E-09</v>
      </c>
      <c r="R189" s="5">
        <v>1.24E-09</v>
      </c>
      <c r="S189" s="5">
        <v>5.81218025669</v>
      </c>
      <c r="T189" s="5">
        <v>17256.6315363414</v>
      </c>
      <c r="U189">
        <f t="shared" si="23"/>
        <v>-6.692564563056908E-10</v>
      </c>
      <c r="BP189" s="5">
        <v>4.75E-09</v>
      </c>
      <c r="BQ189" s="5">
        <v>1.17025894287</v>
      </c>
      <c r="BR189" s="5">
        <v>12569.6748183318</v>
      </c>
      <c r="BS189">
        <f t="shared" si="26"/>
        <v>4.452213988867361E-09</v>
      </c>
      <c r="BU189" s="5">
        <v>4.9E-10</v>
      </c>
      <c r="BV189" s="5">
        <v>1.93839278478</v>
      </c>
      <c r="BW189" s="5">
        <v>5333.9002410216</v>
      </c>
      <c r="BX189">
        <f t="shared" si="27"/>
        <v>-2.552644929152935E-10</v>
      </c>
    </row>
    <row r="190" spans="13:76" ht="12.75">
      <c r="M190" s="5">
        <v>1.81E-08</v>
      </c>
      <c r="N190" s="5">
        <v>0.49112137707</v>
      </c>
      <c r="O190" s="5">
        <v>1.4844727083</v>
      </c>
      <c r="P190">
        <f t="shared" si="22"/>
        <v>1.5788041967203945E-08</v>
      </c>
      <c r="R190" s="5">
        <v>1.24E-09</v>
      </c>
      <c r="S190" s="5">
        <v>2.36293551623</v>
      </c>
      <c r="T190" s="5">
        <v>4933.2084403326</v>
      </c>
      <c r="U190">
        <f t="shared" si="23"/>
        <v>8.899553334190974E-10</v>
      </c>
      <c r="BP190" s="5">
        <v>6.64E-09</v>
      </c>
      <c r="BQ190" s="5">
        <v>4.50029469969</v>
      </c>
      <c r="BR190" s="5">
        <v>47162.5163546352</v>
      </c>
      <c r="BS190">
        <f t="shared" si="26"/>
        <v>5.084409302549723E-09</v>
      </c>
      <c r="BU190" s="5">
        <v>4.8E-10</v>
      </c>
      <c r="BV190" s="5">
        <v>2.69973662261</v>
      </c>
      <c r="BW190" s="5">
        <v>6709.6740408674</v>
      </c>
      <c r="BX190">
        <f t="shared" si="27"/>
        <v>-1.1183835988263161E-10</v>
      </c>
    </row>
    <row r="191" spans="13:76" ht="12.75">
      <c r="M191" s="5">
        <v>1.346E-08</v>
      </c>
      <c r="N191" s="5">
        <v>1.51574702235</v>
      </c>
      <c r="O191" s="5">
        <v>4136.9104335162</v>
      </c>
      <c r="P191">
        <f t="shared" si="22"/>
        <v>1.286526151130613E-08</v>
      </c>
      <c r="R191" s="5">
        <v>1.26E-09</v>
      </c>
      <c r="S191" s="5">
        <v>3.47435905118</v>
      </c>
      <c r="T191" s="5">
        <v>22483.8485744925</v>
      </c>
      <c r="U191">
        <f t="shared" si="23"/>
        <v>-1.082013652416654E-09</v>
      </c>
      <c r="BP191" s="5">
        <v>5.69E-09</v>
      </c>
      <c r="BQ191" s="5">
        <v>0.16310365162</v>
      </c>
      <c r="BR191" s="5">
        <v>17267.2682016911</v>
      </c>
      <c r="BS191">
        <f t="shared" si="26"/>
        <v>1.165351377219023E-09</v>
      </c>
      <c r="BU191" s="5">
        <v>6.4E-10</v>
      </c>
      <c r="BV191" s="5">
        <v>1.64379897981</v>
      </c>
      <c r="BW191" s="5">
        <v>6262.300454499</v>
      </c>
      <c r="BX191">
        <f t="shared" si="27"/>
        <v>-5.355986107623507E-10</v>
      </c>
    </row>
    <row r="192" spans="13:76" ht="12.75">
      <c r="M192" s="5">
        <v>1.528E-08</v>
      </c>
      <c r="N192" s="5">
        <v>5.61835711404</v>
      </c>
      <c r="O192" s="5">
        <v>6127.6554505572</v>
      </c>
      <c r="P192">
        <f t="shared" si="22"/>
        <v>1.4140357124189156E-08</v>
      </c>
      <c r="R192" s="5">
        <v>1.59E-09</v>
      </c>
      <c r="S192" s="5">
        <v>5.63954754618</v>
      </c>
      <c r="T192" s="5">
        <v>5729.506447149</v>
      </c>
      <c r="U192">
        <f t="shared" si="23"/>
        <v>1.320791523024434E-09</v>
      </c>
      <c r="BP192" s="5">
        <v>5.68E-09</v>
      </c>
      <c r="BQ192" s="5">
        <v>3.86100969474</v>
      </c>
      <c r="BR192" s="5">
        <v>6076.8903015542</v>
      </c>
      <c r="BS192">
        <f t="shared" si="26"/>
        <v>-5.3977087985872926E-09</v>
      </c>
      <c r="BU192" s="5">
        <v>4.6E-10</v>
      </c>
      <c r="BV192" s="5">
        <v>3.98449608961</v>
      </c>
      <c r="BW192" s="5">
        <v>98068.5367163053</v>
      </c>
      <c r="BX192">
        <f t="shared" si="27"/>
        <v>-3.596285278399434E-10</v>
      </c>
    </row>
    <row r="193" spans="13:76" ht="12.75">
      <c r="M193" s="5">
        <v>1.791E-08</v>
      </c>
      <c r="N193" s="5">
        <v>3.22187270126</v>
      </c>
      <c r="O193" s="5">
        <v>39302.096962196</v>
      </c>
      <c r="P193">
        <f t="shared" si="22"/>
        <v>8.107685140782854E-09</v>
      </c>
      <c r="R193" s="5">
        <v>1.23E-09</v>
      </c>
      <c r="S193" s="5">
        <v>3.92815963256</v>
      </c>
      <c r="T193" s="5">
        <v>17996.0311682222</v>
      </c>
      <c r="U193">
        <f t="shared" si="23"/>
        <v>1.1237913147537602E-09</v>
      </c>
      <c r="BP193" s="5">
        <v>5.39E-09</v>
      </c>
      <c r="BQ193" s="5">
        <v>4.83282276086</v>
      </c>
      <c r="BR193" s="5">
        <v>18422.6293590981</v>
      </c>
      <c r="BS193">
        <f t="shared" si="26"/>
        <v>5.3675130358760564E-09</v>
      </c>
      <c r="BU193" s="5">
        <v>5E-10</v>
      </c>
      <c r="BV193" s="5">
        <v>3.68875893005</v>
      </c>
      <c r="BW193" s="5">
        <v>12323.4230960088</v>
      </c>
      <c r="BX193">
        <f t="shared" si="27"/>
        <v>2.128341474329003E-10</v>
      </c>
    </row>
    <row r="194" spans="13:76" ht="12.75">
      <c r="M194" s="5">
        <v>1.747E-08</v>
      </c>
      <c r="N194" s="5">
        <v>3.05638656738</v>
      </c>
      <c r="O194" s="5">
        <v>18319.5365848796</v>
      </c>
      <c r="P194">
        <f aca="true" t="shared" si="29" ref="P194:P257">M194*COS(N194+O194*$E$16)</f>
        <v>-1.7373621140255804E-08</v>
      </c>
      <c r="R194" s="5">
        <v>1.48E-09</v>
      </c>
      <c r="S194" s="5">
        <v>3.02509280598</v>
      </c>
      <c r="T194" s="5">
        <v>1551.045222648</v>
      </c>
      <c r="U194">
        <f aca="true" t="shared" si="30" ref="U194:U257">R194*COS(S194+T194*$E$16)</f>
        <v>3.0623848881725747E-10</v>
      </c>
      <c r="BP194" s="5">
        <v>4.66E-09</v>
      </c>
      <c r="BQ194" s="5">
        <v>0.75872342878</v>
      </c>
      <c r="BR194" s="5">
        <v>7342.4577801806</v>
      </c>
      <c r="BS194">
        <f aca="true" t="shared" si="31" ref="BS194:BS257">BP194*COS(BQ194+BR194*$E$16)</f>
        <v>1.9314635926054706E-11</v>
      </c>
      <c r="BU194" s="5">
        <v>4.5E-10</v>
      </c>
      <c r="BV194" s="5">
        <v>3.30068569697</v>
      </c>
      <c r="BW194" s="5">
        <v>22003.9146348698</v>
      </c>
      <c r="BX194">
        <f aca="true" t="shared" si="32" ref="BX194:BX257">BU194*COS(BV194+BW194*$E$16)</f>
        <v>-2.978004297939958E-10</v>
      </c>
    </row>
    <row r="195" spans="13:76" ht="12.75">
      <c r="M195" s="5">
        <v>1.431E-08</v>
      </c>
      <c r="N195" s="5">
        <v>4.51153808594</v>
      </c>
      <c r="O195" s="5">
        <v>20426.571092422</v>
      </c>
      <c r="P195">
        <f t="shared" si="29"/>
        <v>4.411961826047834E-09</v>
      </c>
      <c r="R195" s="5">
        <v>1.2E-09</v>
      </c>
      <c r="S195" s="5">
        <v>5.91904349732</v>
      </c>
      <c r="T195" s="5">
        <v>6206.8097787158</v>
      </c>
      <c r="U195">
        <f t="shared" si="30"/>
        <v>6.776529616004441E-10</v>
      </c>
      <c r="BP195" s="5">
        <v>5.41E-09</v>
      </c>
      <c r="BQ195" s="5">
        <v>3.07212190507</v>
      </c>
      <c r="BR195" s="5">
        <v>226858.23855437</v>
      </c>
      <c r="BS195">
        <f t="shared" si="31"/>
        <v>-4.42707891840335E-09</v>
      </c>
      <c r="BU195" s="5">
        <v>4.7E-10</v>
      </c>
      <c r="BV195" s="5">
        <v>1.26317154881</v>
      </c>
      <c r="BW195" s="5">
        <v>11919.140866668</v>
      </c>
      <c r="BX195">
        <f t="shared" si="32"/>
        <v>-4.209759879816049E-10</v>
      </c>
    </row>
    <row r="196" spans="13:76" ht="12.75">
      <c r="M196" s="5">
        <v>1.695E-08</v>
      </c>
      <c r="N196" s="5">
        <v>0.22047718414</v>
      </c>
      <c r="O196" s="5">
        <v>25158.6017197654</v>
      </c>
      <c r="P196">
        <f t="shared" si="29"/>
        <v>-1.4296639313456157E-08</v>
      </c>
      <c r="R196" s="5">
        <v>1.34E-09</v>
      </c>
      <c r="S196" s="5">
        <v>3.11122937825</v>
      </c>
      <c r="T196" s="5">
        <v>21954.1576093979</v>
      </c>
      <c r="U196">
        <f t="shared" si="30"/>
        <v>1.7606010421936633E-10</v>
      </c>
      <c r="BP196" s="5">
        <v>4.58E-09</v>
      </c>
      <c r="BQ196" s="5">
        <v>0.26774483096</v>
      </c>
      <c r="BR196" s="5">
        <v>4590.910180489</v>
      </c>
      <c r="BS196">
        <f t="shared" si="31"/>
        <v>1.8266703251978752E-09</v>
      </c>
      <c r="BU196" s="5">
        <v>4.5E-10</v>
      </c>
      <c r="BV196" s="5">
        <v>0.89150445122</v>
      </c>
      <c r="BW196" s="5">
        <v>51868.2486621788</v>
      </c>
      <c r="BX196">
        <f t="shared" si="32"/>
        <v>-4.244062552820398E-10</v>
      </c>
    </row>
    <row r="197" spans="13:76" ht="12.75">
      <c r="M197" s="5">
        <v>1.242E-08</v>
      </c>
      <c r="N197" s="5">
        <v>4.46665769933</v>
      </c>
      <c r="O197" s="5">
        <v>17256.6315363414</v>
      </c>
      <c r="P197">
        <f t="shared" si="29"/>
        <v>-1.1688853370172024E-08</v>
      </c>
      <c r="R197" s="5">
        <v>1.19E-09</v>
      </c>
      <c r="S197" s="5">
        <v>5.5214112345</v>
      </c>
      <c r="T197" s="5">
        <v>709.9330485583</v>
      </c>
      <c r="U197">
        <f t="shared" si="30"/>
        <v>-9.168909374126715E-10</v>
      </c>
      <c r="BP197" s="5">
        <v>6.1E-09</v>
      </c>
      <c r="BQ197" s="5">
        <v>1.53597051291</v>
      </c>
      <c r="BR197" s="5">
        <v>33019.0211122046</v>
      </c>
      <c r="BS197">
        <f t="shared" si="31"/>
        <v>-5.976227059225488E-09</v>
      </c>
      <c r="BU197" s="5">
        <v>4.3E-10</v>
      </c>
      <c r="BV197" s="5">
        <v>1.61526242998</v>
      </c>
      <c r="BW197" s="5">
        <v>6277.552925684</v>
      </c>
      <c r="BX197">
        <f t="shared" si="32"/>
        <v>-3.13240201141184E-10</v>
      </c>
    </row>
    <row r="198" spans="13:76" ht="12.75">
      <c r="M198" s="5">
        <v>1.463E-08</v>
      </c>
      <c r="N198" s="5">
        <v>4.69242679213</v>
      </c>
      <c r="O198" s="5">
        <v>14945.3161735544</v>
      </c>
      <c r="P198">
        <f t="shared" si="29"/>
        <v>-1.3570295625314815E-08</v>
      </c>
      <c r="R198" s="5">
        <v>1.22E-09</v>
      </c>
      <c r="S198" s="5">
        <v>3.00813429479</v>
      </c>
      <c r="T198" s="5">
        <v>19800.9459562248</v>
      </c>
      <c r="U198">
        <f t="shared" si="30"/>
        <v>-8.403071662581837E-10</v>
      </c>
      <c r="BP198" s="5">
        <v>6.17E-09</v>
      </c>
      <c r="BQ198" s="5">
        <v>2.62356328726</v>
      </c>
      <c r="BR198" s="5">
        <v>11190.377900137</v>
      </c>
      <c r="BS198">
        <f t="shared" si="31"/>
        <v>4.441336555188375E-10</v>
      </c>
      <c r="BU198" s="5">
        <v>4.3E-10</v>
      </c>
      <c r="BV198" s="5">
        <v>5.74295325645</v>
      </c>
      <c r="BW198" s="5">
        <v>11403.676995575</v>
      </c>
      <c r="BX198">
        <f t="shared" si="32"/>
        <v>1.6067658794925617E-10</v>
      </c>
    </row>
    <row r="199" spans="13:76" ht="12.75">
      <c r="M199" s="5">
        <v>1.205E-08</v>
      </c>
      <c r="N199" s="5">
        <v>1.86912144659</v>
      </c>
      <c r="O199" s="5">
        <v>4590.910180489</v>
      </c>
      <c r="P199">
        <f t="shared" si="29"/>
        <v>1.0898005053038263E-08</v>
      </c>
      <c r="R199" s="5">
        <v>1.27E-09</v>
      </c>
      <c r="S199" s="5">
        <v>1.37618620001</v>
      </c>
      <c r="T199" s="5">
        <v>14945.3161735544</v>
      </c>
      <c r="U199">
        <f t="shared" si="30"/>
        <v>1.2425469648109682E-09</v>
      </c>
      <c r="BP199" s="5">
        <v>5.48E-09</v>
      </c>
      <c r="BQ199" s="5">
        <v>4.55798855791</v>
      </c>
      <c r="BR199" s="5">
        <v>18875.525869774</v>
      </c>
      <c r="BS199">
        <f t="shared" si="31"/>
        <v>4.547777305309515E-09</v>
      </c>
      <c r="BU199" s="5">
        <v>4.4E-10</v>
      </c>
      <c r="BV199" s="5">
        <v>3.43070646822</v>
      </c>
      <c r="BW199" s="5">
        <v>10021.8372800994</v>
      </c>
      <c r="BX199">
        <f t="shared" si="32"/>
        <v>3.198356937709796E-10</v>
      </c>
    </row>
    <row r="200" spans="13:76" ht="12.75">
      <c r="M200" s="5">
        <v>1.192E-08</v>
      </c>
      <c r="N200" s="5">
        <v>2.74227166898</v>
      </c>
      <c r="O200" s="5">
        <v>12569.6748183318</v>
      </c>
      <c r="P200">
        <f t="shared" si="29"/>
        <v>4.140544796696444E-09</v>
      </c>
      <c r="R200" s="5">
        <v>1.41E-09</v>
      </c>
      <c r="S200" s="5">
        <v>2.56889468729</v>
      </c>
      <c r="T200" s="5">
        <v>1052.2683831884</v>
      </c>
      <c r="U200">
        <f t="shared" si="30"/>
        <v>-8.372248025845262E-10</v>
      </c>
      <c r="BP200" s="5">
        <v>6.33E-09</v>
      </c>
      <c r="BQ200" s="5">
        <v>4.60110281228</v>
      </c>
      <c r="BR200" s="5">
        <v>66567.4858652542</v>
      </c>
      <c r="BS200">
        <f t="shared" si="31"/>
        <v>-5.803578176676848E-09</v>
      </c>
      <c r="BU200" s="5">
        <v>5.6E-10</v>
      </c>
      <c r="BV200" s="5">
        <v>0.02481833774</v>
      </c>
      <c r="BW200" s="5">
        <v>15671.0817594066</v>
      </c>
      <c r="BX200">
        <f t="shared" si="32"/>
        <v>-3.6506463703191535E-10</v>
      </c>
    </row>
    <row r="201" spans="13:76" ht="12.75">
      <c r="M201" s="5">
        <v>1.222E-08</v>
      </c>
      <c r="N201" s="5">
        <v>5.18120087482</v>
      </c>
      <c r="O201" s="5">
        <v>5333.9002410216</v>
      </c>
      <c r="P201">
        <f t="shared" si="29"/>
        <v>5.279441942517021E-09</v>
      </c>
      <c r="R201" s="5">
        <v>1.23E-09</v>
      </c>
      <c r="S201" s="5">
        <v>2.83671175442</v>
      </c>
      <c r="T201" s="5">
        <v>11919.140866668</v>
      </c>
      <c r="U201">
        <f t="shared" si="30"/>
        <v>5.499671641666807E-10</v>
      </c>
      <c r="BP201" s="5">
        <v>5.96E-09</v>
      </c>
      <c r="BQ201" s="5">
        <v>5.78202396722</v>
      </c>
      <c r="BR201" s="5">
        <v>632.7837393132</v>
      </c>
      <c r="BS201">
        <f t="shared" si="31"/>
        <v>-6.445521172618866E-10</v>
      </c>
      <c r="BU201" s="5">
        <v>5.5E-10</v>
      </c>
      <c r="BV201" s="5">
        <v>3.14274403422</v>
      </c>
      <c r="BW201" s="5">
        <v>33019.0211122046</v>
      </c>
      <c r="BX201">
        <f t="shared" si="32"/>
        <v>1.2954337041242527E-10</v>
      </c>
    </row>
    <row r="202" spans="13:76" ht="12.75">
      <c r="M202" s="5">
        <v>1.39E-08</v>
      </c>
      <c r="N202" s="5">
        <v>5.42894648983</v>
      </c>
      <c r="O202" s="5">
        <v>143571.324284816</v>
      </c>
      <c r="P202">
        <f t="shared" si="29"/>
        <v>-1.3835139586465501E-08</v>
      </c>
      <c r="R202" s="5">
        <v>1.18E-09</v>
      </c>
      <c r="S202" s="5">
        <v>0.81934438215</v>
      </c>
      <c r="T202" s="5">
        <v>5331.3574437408</v>
      </c>
      <c r="U202">
        <f t="shared" si="30"/>
        <v>-1.1700088659492456E-09</v>
      </c>
      <c r="BP202" s="5">
        <v>5.33E-09</v>
      </c>
      <c r="BQ202" s="5">
        <v>5.01786882904</v>
      </c>
      <c r="BR202" s="5">
        <v>12132.439962106</v>
      </c>
      <c r="BS202">
        <f t="shared" si="31"/>
        <v>-3.769620401980421E-09</v>
      </c>
      <c r="BU202" s="5">
        <v>4.5E-10</v>
      </c>
      <c r="BV202" s="5">
        <v>3.00877289177</v>
      </c>
      <c r="BW202" s="5">
        <v>8982.810669309</v>
      </c>
      <c r="BX202">
        <f t="shared" si="32"/>
        <v>-3.6307670400989516E-10</v>
      </c>
    </row>
    <row r="203" spans="13:76" ht="12.75">
      <c r="M203" s="5">
        <v>1.473E-08</v>
      </c>
      <c r="N203" s="5">
        <v>1.70479245805</v>
      </c>
      <c r="O203" s="5">
        <v>11712.9553182308</v>
      </c>
      <c r="P203">
        <f t="shared" si="29"/>
        <v>4.134561635489716E-09</v>
      </c>
      <c r="R203" s="5">
        <v>1.51E-09</v>
      </c>
      <c r="S203" s="5">
        <v>2.68731829165</v>
      </c>
      <c r="T203" s="5">
        <v>11769.8536931664</v>
      </c>
      <c r="U203">
        <f t="shared" si="30"/>
        <v>-1.5005786541212384E-09</v>
      </c>
      <c r="BP203" s="5">
        <v>6.03E-09</v>
      </c>
      <c r="BQ203" s="5">
        <v>5.38458554802</v>
      </c>
      <c r="BR203" s="5">
        <v>316428.228673915</v>
      </c>
      <c r="BS203">
        <f t="shared" si="31"/>
        <v>-5.584081121871084E-09</v>
      </c>
      <c r="BU203" s="5">
        <v>4.6E-10</v>
      </c>
      <c r="BV203" s="5">
        <v>0.73303568429</v>
      </c>
      <c r="BW203" s="5">
        <v>6303.4311693902</v>
      </c>
      <c r="BX203">
        <f t="shared" si="32"/>
        <v>-4.490516960988769E-10</v>
      </c>
    </row>
    <row r="204" spans="13:76" ht="12.75">
      <c r="M204" s="5">
        <v>1.362E-08</v>
      </c>
      <c r="N204" s="5">
        <v>2.61069503292</v>
      </c>
      <c r="O204" s="5">
        <v>6062.6632075526</v>
      </c>
      <c r="P204">
        <f t="shared" si="29"/>
        <v>-5.884825027060587E-09</v>
      </c>
      <c r="R204" s="5">
        <v>1.19E-09</v>
      </c>
      <c r="S204" s="5">
        <v>5.08835797638</v>
      </c>
      <c r="T204" s="5">
        <v>5481.2549188676</v>
      </c>
      <c r="U204">
        <f t="shared" si="30"/>
        <v>-1.178437975249193E-09</v>
      </c>
      <c r="BP204" s="5">
        <v>4.69E-09</v>
      </c>
      <c r="BQ204" s="5">
        <v>0.59168241917</v>
      </c>
      <c r="BR204" s="5">
        <v>21954.1576093979</v>
      </c>
      <c r="BS204">
        <f t="shared" si="31"/>
        <v>2.2083798076457765E-09</v>
      </c>
      <c r="BU204" s="5">
        <v>4.9E-10</v>
      </c>
      <c r="BV204" s="5">
        <v>1.60455690285</v>
      </c>
      <c r="BW204" s="5">
        <v>6303.8512454838</v>
      </c>
      <c r="BX204">
        <f t="shared" si="32"/>
        <v>-2.2411511817052544E-10</v>
      </c>
    </row>
    <row r="205" spans="13:76" ht="12.75">
      <c r="M205" s="5">
        <v>1.148E-08</v>
      </c>
      <c r="N205" s="5">
        <v>6.0300180054</v>
      </c>
      <c r="O205" s="5">
        <v>3634.6210245184</v>
      </c>
      <c r="P205">
        <f t="shared" si="29"/>
        <v>-3.770906163093442E-09</v>
      </c>
      <c r="R205" s="5">
        <v>1.53E-09</v>
      </c>
      <c r="S205" s="5">
        <v>2.46021790779</v>
      </c>
      <c r="T205" s="5">
        <v>11933.3679606696</v>
      </c>
      <c r="U205">
        <f t="shared" si="30"/>
        <v>4.189196150937696E-10</v>
      </c>
      <c r="BP205" s="5">
        <v>5.48E-09</v>
      </c>
      <c r="BQ205" s="5">
        <v>3.50613163558</v>
      </c>
      <c r="BR205" s="5">
        <v>17253.0411076895</v>
      </c>
      <c r="BS205">
        <f t="shared" si="31"/>
        <v>-1.1820644720921197E-09</v>
      </c>
      <c r="BU205" s="5">
        <v>4.5E-10</v>
      </c>
      <c r="BV205" s="5">
        <v>0.40210030323</v>
      </c>
      <c r="BW205" s="5">
        <v>6805.6532680852</v>
      </c>
      <c r="BX205">
        <f t="shared" si="32"/>
        <v>-4.269108261546176E-10</v>
      </c>
    </row>
    <row r="206" spans="13:76" ht="12.75">
      <c r="M206" s="5">
        <v>1.198E-08</v>
      </c>
      <c r="N206" s="5">
        <v>5.15294130422</v>
      </c>
      <c r="O206" s="5">
        <v>10177.2576795336</v>
      </c>
      <c r="P206">
        <f t="shared" si="29"/>
        <v>-1.1922979347521502E-08</v>
      </c>
      <c r="R206" s="5">
        <v>1.08E-09</v>
      </c>
      <c r="S206" s="5">
        <v>1.04936452145</v>
      </c>
      <c r="T206" s="5">
        <v>11403.676995575</v>
      </c>
      <c r="U206">
        <f t="shared" si="30"/>
        <v>-1.0091777242582478E-09</v>
      </c>
      <c r="BP206" s="5">
        <v>5.02E-09</v>
      </c>
      <c r="BQ206" s="5">
        <v>0.98804327589</v>
      </c>
      <c r="BR206" s="5">
        <v>11609.8625440122</v>
      </c>
      <c r="BS206">
        <f t="shared" si="31"/>
        <v>3.4637008988329836E-09</v>
      </c>
      <c r="BU206" s="5">
        <v>5.3E-10</v>
      </c>
      <c r="BV206" s="5">
        <v>0.94869680175</v>
      </c>
      <c r="BW206" s="5">
        <v>10988.808157535</v>
      </c>
      <c r="BX206">
        <f t="shared" si="32"/>
        <v>-5.108725599102068E-10</v>
      </c>
    </row>
    <row r="207" spans="13:76" ht="12.75">
      <c r="M207" s="5">
        <v>1.266E-08</v>
      </c>
      <c r="N207" s="5">
        <v>0.11421493643</v>
      </c>
      <c r="O207" s="5">
        <v>18422.6293590981</v>
      </c>
      <c r="P207">
        <f t="shared" si="29"/>
        <v>1.2336035033002245E-09</v>
      </c>
      <c r="R207" s="5">
        <v>1.28E-09</v>
      </c>
      <c r="S207" s="5">
        <v>0.99794735107</v>
      </c>
      <c r="T207" s="5">
        <v>8827.3902698748</v>
      </c>
      <c r="U207">
        <f t="shared" si="30"/>
        <v>1.2166350869007973E-09</v>
      </c>
      <c r="BP207" s="5">
        <v>5.68E-09</v>
      </c>
      <c r="BQ207" s="5">
        <v>1.98497313089</v>
      </c>
      <c r="BR207" s="5">
        <v>7668.6374249425</v>
      </c>
      <c r="BS207">
        <f t="shared" si="31"/>
        <v>-3.616093762419031E-09</v>
      </c>
      <c r="BU207" s="5">
        <v>4.1E-10</v>
      </c>
      <c r="BV207" s="5">
        <v>1.61122384329</v>
      </c>
      <c r="BW207" s="5">
        <v>6819.8803620868</v>
      </c>
      <c r="BX207">
        <f t="shared" si="32"/>
        <v>6.140831043329379E-11</v>
      </c>
    </row>
    <row r="208" spans="13:76" ht="12.75">
      <c r="M208" s="5">
        <v>1.411E-08</v>
      </c>
      <c r="N208" s="5">
        <v>1.09908857534</v>
      </c>
      <c r="O208" s="5">
        <v>3496.032826134</v>
      </c>
      <c r="P208">
        <f t="shared" si="29"/>
        <v>-1.0469680279646402E-08</v>
      </c>
      <c r="R208" s="5">
        <v>1.44E-09</v>
      </c>
      <c r="S208" s="5">
        <v>2.54869747042</v>
      </c>
      <c r="T208" s="5">
        <v>227.476132789</v>
      </c>
      <c r="U208">
        <f t="shared" si="30"/>
        <v>1.108769993233918E-09</v>
      </c>
      <c r="BP208" s="5">
        <v>4.82E-09</v>
      </c>
      <c r="BQ208" s="5">
        <v>1.62141803864</v>
      </c>
      <c r="BR208" s="5">
        <v>12146.6670561076</v>
      </c>
      <c r="BS208">
        <f t="shared" si="31"/>
        <v>3.6216970090957097E-09</v>
      </c>
      <c r="BU208" s="5">
        <v>5.5E-10</v>
      </c>
      <c r="BV208" s="5">
        <v>0.89439119424</v>
      </c>
      <c r="BW208" s="5">
        <v>11933.3679606696</v>
      </c>
      <c r="BX208">
        <f t="shared" si="32"/>
        <v>-5.282271696932871E-10</v>
      </c>
    </row>
    <row r="209" spans="13:76" ht="12.75">
      <c r="M209" s="5">
        <v>1.349E-08</v>
      </c>
      <c r="N209" s="5">
        <v>2.99805109633</v>
      </c>
      <c r="O209" s="5">
        <v>17654.7805397496</v>
      </c>
      <c r="P209">
        <f t="shared" si="29"/>
        <v>1.2576016362345167E-08</v>
      </c>
      <c r="R209" s="5">
        <v>1.5E-09</v>
      </c>
      <c r="S209" s="5">
        <v>4.50631437136</v>
      </c>
      <c r="T209" s="5">
        <v>2379.1644735716</v>
      </c>
      <c r="U209">
        <f t="shared" si="30"/>
        <v>2.97113129105509E-10</v>
      </c>
      <c r="BP209" s="5">
        <v>3.91E-09</v>
      </c>
      <c r="BQ209" s="5">
        <v>3.68718382989</v>
      </c>
      <c r="BR209" s="5">
        <v>18052.9295431578</v>
      </c>
      <c r="BS209">
        <f t="shared" si="31"/>
        <v>3.889906740726138E-09</v>
      </c>
      <c r="BU209" s="5">
        <v>4.5E-10</v>
      </c>
      <c r="BV209" s="5">
        <v>3.88495384656</v>
      </c>
      <c r="BW209" s="5">
        <v>60530.4889857418</v>
      </c>
      <c r="BX209">
        <f t="shared" si="32"/>
        <v>-4.418624903602842E-10</v>
      </c>
    </row>
    <row r="210" spans="13:76" ht="12.75">
      <c r="M210" s="5">
        <v>1.253E-08</v>
      </c>
      <c r="N210" s="5">
        <v>2.79850152848</v>
      </c>
      <c r="O210" s="5">
        <v>167283.761587665</v>
      </c>
      <c r="P210">
        <f t="shared" si="29"/>
        <v>-1.208205323228429E-08</v>
      </c>
      <c r="R210" s="5">
        <v>1.07E-09</v>
      </c>
      <c r="S210" s="5">
        <v>1.79272017026</v>
      </c>
      <c r="T210" s="5">
        <v>13119.7211028251</v>
      </c>
      <c r="U210">
        <f t="shared" si="30"/>
        <v>2.4456832071270975E-10</v>
      </c>
      <c r="BP210" s="5">
        <v>4.57E-09</v>
      </c>
      <c r="BQ210" s="5">
        <v>3.7720573734</v>
      </c>
      <c r="BR210" s="5">
        <v>156137.475984799</v>
      </c>
      <c r="BS210">
        <f t="shared" si="31"/>
        <v>4.491773609307368E-09</v>
      </c>
      <c r="BU210" s="5">
        <v>4E-10</v>
      </c>
      <c r="BV210" s="5">
        <v>4.75740908001</v>
      </c>
      <c r="BW210" s="5">
        <v>38526.574350872</v>
      </c>
      <c r="BX210">
        <f t="shared" si="32"/>
        <v>4.70492976547797E-11</v>
      </c>
    </row>
    <row r="211" spans="13:76" ht="12.75">
      <c r="M211" s="5">
        <v>1.311E-08</v>
      </c>
      <c r="N211" s="5">
        <v>1.60942984879</v>
      </c>
      <c r="O211" s="5">
        <v>5481.2549188676</v>
      </c>
      <c r="P211">
        <f t="shared" si="29"/>
        <v>1.1647532398957742E-08</v>
      </c>
      <c r="R211" s="5">
        <v>1.07E-09</v>
      </c>
      <c r="S211" s="5">
        <v>4.43556814486</v>
      </c>
      <c r="T211" s="5">
        <v>18422.6293590981</v>
      </c>
      <c r="U211">
        <f t="shared" si="30"/>
        <v>9.447843262026785E-10</v>
      </c>
      <c r="BP211" s="5">
        <v>4.01E-09</v>
      </c>
      <c r="BQ211" s="5">
        <v>5.28260651958</v>
      </c>
      <c r="BR211" s="5">
        <v>15671.0817594066</v>
      </c>
      <c r="BS211">
        <f t="shared" si="31"/>
        <v>1.2435394069801181E-09</v>
      </c>
      <c r="BU211" s="5">
        <v>4E-10</v>
      </c>
      <c r="BV211" s="5">
        <v>1.49921251887</v>
      </c>
      <c r="BW211" s="5">
        <v>18451.0785465659</v>
      </c>
      <c r="BX211">
        <f t="shared" si="32"/>
        <v>-3.9811525286387956E-10</v>
      </c>
    </row>
    <row r="212" spans="13:76" ht="12.75">
      <c r="M212" s="5">
        <v>1.079E-08</v>
      </c>
      <c r="N212" s="5">
        <v>6.20304501787</v>
      </c>
      <c r="O212" s="5">
        <v>3.2863574178</v>
      </c>
      <c r="P212">
        <f t="shared" si="29"/>
        <v>1.0782936741587079E-08</v>
      </c>
      <c r="R212" s="5">
        <v>1.09E-09</v>
      </c>
      <c r="S212" s="5">
        <v>0.29269062317</v>
      </c>
      <c r="T212" s="5">
        <v>16737.5772365966</v>
      </c>
      <c r="U212">
        <f t="shared" si="30"/>
        <v>-4.893590928009664E-10</v>
      </c>
      <c r="BP212" s="5">
        <v>4.69E-09</v>
      </c>
      <c r="BQ212" s="5">
        <v>1.80963184268</v>
      </c>
      <c r="BR212" s="5">
        <v>12562.6285816338</v>
      </c>
      <c r="BS212">
        <f t="shared" si="31"/>
        <v>4.60634461801722E-09</v>
      </c>
      <c r="BU212" s="5">
        <v>4E-10</v>
      </c>
      <c r="BV212" s="5">
        <v>3.77498297228</v>
      </c>
      <c r="BW212" s="5">
        <v>26087.9031415742</v>
      </c>
      <c r="BX212">
        <f t="shared" si="32"/>
        <v>2.660659374980489E-10</v>
      </c>
    </row>
    <row r="213" spans="13:76" ht="12.75">
      <c r="M213" s="5">
        <v>1.181E-08</v>
      </c>
      <c r="N213" s="5">
        <v>1.20653776978</v>
      </c>
      <c r="O213" s="5">
        <v>131.5419616864</v>
      </c>
      <c r="P213">
        <f t="shared" si="29"/>
        <v>-1.1628225171545151E-08</v>
      </c>
      <c r="R213" s="5">
        <v>1.41E-09</v>
      </c>
      <c r="S213" s="5">
        <v>3.18979826258</v>
      </c>
      <c r="T213" s="5">
        <v>6262.300454499</v>
      </c>
      <c r="U213">
        <f t="shared" si="30"/>
        <v>7.423357077743572E-10</v>
      </c>
      <c r="BP213" s="5">
        <v>5.08E-09</v>
      </c>
      <c r="BQ213" s="5">
        <v>3.36399024699</v>
      </c>
      <c r="BR213" s="5">
        <v>20597.2439630412</v>
      </c>
      <c r="BS213">
        <f t="shared" si="31"/>
        <v>-3.7204098449393433E-09</v>
      </c>
      <c r="BU213" s="5">
        <v>5.1E-10</v>
      </c>
      <c r="BV213" s="5">
        <v>1.70258603562</v>
      </c>
      <c r="BW213" s="5">
        <v>1551.045222648</v>
      </c>
      <c r="BX213">
        <f t="shared" si="32"/>
        <v>-4.577284841880577E-10</v>
      </c>
    </row>
    <row r="214" spans="13:76" ht="12.75">
      <c r="M214" s="5">
        <v>1.254E-08</v>
      </c>
      <c r="N214" s="5">
        <v>5.45103277798</v>
      </c>
      <c r="O214" s="5">
        <v>6076.8903015542</v>
      </c>
      <c r="P214">
        <f t="shared" si="29"/>
        <v>4.13250235463655E-09</v>
      </c>
      <c r="R214" s="5">
        <v>1.22E-09</v>
      </c>
      <c r="S214" s="5">
        <v>4.23040027813</v>
      </c>
      <c r="T214" s="5">
        <v>29.429508536</v>
      </c>
      <c r="U214">
        <f t="shared" si="30"/>
        <v>-1.0766889186133467E-10</v>
      </c>
      <c r="BP214" s="5">
        <v>4.5E-09</v>
      </c>
      <c r="BQ214" s="5">
        <v>5.6605429925</v>
      </c>
      <c r="BR214" s="5">
        <v>10454.5013866052</v>
      </c>
      <c r="BS214">
        <f t="shared" si="31"/>
        <v>2.519494395512731E-09</v>
      </c>
      <c r="BU214" s="5">
        <v>3.9E-10</v>
      </c>
      <c r="BV214" s="5">
        <v>2.97100699926</v>
      </c>
      <c r="BW214" s="5">
        <v>2118.7638603784</v>
      </c>
      <c r="BX214">
        <f t="shared" si="32"/>
        <v>3.8779489859008365E-10</v>
      </c>
    </row>
    <row r="215" spans="13:76" ht="12.75">
      <c r="M215" s="5">
        <v>1.035E-08</v>
      </c>
      <c r="N215" s="5">
        <v>2.32142722747</v>
      </c>
      <c r="O215" s="5">
        <v>7342.4577801806</v>
      </c>
      <c r="P215">
        <f t="shared" si="29"/>
        <v>1.0349919349348142E-08</v>
      </c>
      <c r="R215" s="5">
        <v>1.11E-09</v>
      </c>
      <c r="S215" s="5">
        <v>5.16954029551</v>
      </c>
      <c r="T215" s="5">
        <v>17782.7320727842</v>
      </c>
      <c r="U215">
        <f t="shared" si="30"/>
        <v>-4.921089382659213E-10</v>
      </c>
      <c r="BP215" s="5">
        <v>3.75E-09</v>
      </c>
      <c r="BQ215" s="5">
        <v>4.98534633105</v>
      </c>
      <c r="BR215" s="5">
        <v>9779.1086761254</v>
      </c>
      <c r="BS215">
        <f t="shared" si="31"/>
        <v>-2.885645333210475E-09</v>
      </c>
      <c r="BU215" s="5">
        <v>5.3E-10</v>
      </c>
      <c r="BV215" s="5">
        <v>5.19854123078</v>
      </c>
      <c r="BW215" s="5">
        <v>77713.7714681205</v>
      </c>
      <c r="BX215">
        <f t="shared" si="32"/>
        <v>-2.276998780677288E-11</v>
      </c>
    </row>
    <row r="216" spans="13:76" ht="12.75">
      <c r="M216" s="5">
        <v>1.117E-08</v>
      </c>
      <c r="N216" s="5">
        <v>0.38838354256</v>
      </c>
      <c r="O216" s="5">
        <v>949.1756089698</v>
      </c>
      <c r="P216">
        <f t="shared" si="29"/>
        <v>9.708684911222968E-09</v>
      </c>
      <c r="R216" s="5">
        <v>1E-09</v>
      </c>
      <c r="S216" s="5">
        <v>3.52213872761</v>
      </c>
      <c r="T216" s="5">
        <v>18052.9295431578</v>
      </c>
      <c r="U216">
        <f t="shared" si="30"/>
        <v>9.97976819224377E-10</v>
      </c>
      <c r="BP216" s="5">
        <v>5.23E-09</v>
      </c>
      <c r="BQ216" s="5">
        <v>0.97215560834</v>
      </c>
      <c r="BR216" s="5">
        <v>155427.54293624</v>
      </c>
      <c r="BS216">
        <f t="shared" si="31"/>
        <v>5.210760201952324E-09</v>
      </c>
      <c r="BU216" s="5">
        <v>4.7E-10</v>
      </c>
      <c r="BV216" s="5">
        <v>4.26356628717</v>
      </c>
      <c r="BW216" s="5">
        <v>21424.4666443034</v>
      </c>
      <c r="BX216">
        <f t="shared" si="32"/>
        <v>-1.0216460391543852E-10</v>
      </c>
    </row>
    <row r="217" spans="13:76" ht="12.75">
      <c r="M217" s="5">
        <v>9.66E-09</v>
      </c>
      <c r="N217" s="5">
        <v>3.18341890851</v>
      </c>
      <c r="O217" s="5">
        <v>11087.2851259184</v>
      </c>
      <c r="P217">
        <f t="shared" si="29"/>
        <v>7.512943805078834E-09</v>
      </c>
      <c r="R217" s="5">
        <v>1.08E-09</v>
      </c>
      <c r="S217" s="5">
        <v>1.08514212991</v>
      </c>
      <c r="T217" s="5">
        <v>16858.4825329332</v>
      </c>
      <c r="U217">
        <f t="shared" si="30"/>
        <v>1.005669074435219E-09</v>
      </c>
      <c r="BP217" s="5">
        <v>4.03E-09</v>
      </c>
      <c r="BQ217" s="5">
        <v>5.13939866506</v>
      </c>
      <c r="BR217" s="5">
        <v>1551.045222648</v>
      </c>
      <c r="BS217">
        <f t="shared" si="31"/>
        <v>2.9433902442909315E-09</v>
      </c>
      <c r="BU217" s="5">
        <v>3.7E-10</v>
      </c>
      <c r="BV217" s="5">
        <v>0.62902722802</v>
      </c>
      <c r="BW217" s="5">
        <v>24356.7807886416</v>
      </c>
      <c r="BX217">
        <f t="shared" si="32"/>
        <v>3.507551671965825E-10</v>
      </c>
    </row>
    <row r="218" spans="13:76" ht="12.75">
      <c r="M218" s="5">
        <v>1.171E-08</v>
      </c>
      <c r="N218" s="5">
        <v>3.39635049962</v>
      </c>
      <c r="O218" s="5">
        <v>12562.6285816338</v>
      </c>
      <c r="P218">
        <f t="shared" si="29"/>
        <v>-2.3846847598470164E-09</v>
      </c>
      <c r="R218" s="5">
        <v>1.06E-09</v>
      </c>
      <c r="S218" s="5">
        <v>1.9608524841</v>
      </c>
      <c r="T218" s="5">
        <v>74.7815985673</v>
      </c>
      <c r="U218">
        <f t="shared" si="30"/>
        <v>-1.0427728130775563E-09</v>
      </c>
      <c r="BP218" s="5">
        <v>3.72E-09</v>
      </c>
      <c r="BQ218" s="5">
        <v>3.69883738807</v>
      </c>
      <c r="BR218" s="5">
        <v>9388.0059094152</v>
      </c>
      <c r="BS218">
        <f t="shared" si="31"/>
        <v>-3.3359612153133028E-09</v>
      </c>
      <c r="BU218" s="5">
        <v>3.6E-10</v>
      </c>
      <c r="BV218" s="5">
        <v>0.11087914947</v>
      </c>
      <c r="BW218" s="5">
        <v>10344.2950653858</v>
      </c>
      <c r="BX218">
        <f t="shared" si="32"/>
        <v>3.5001655155115145E-10</v>
      </c>
    </row>
    <row r="219" spans="13:76" ht="12.75">
      <c r="M219" s="5">
        <v>1.121E-08</v>
      </c>
      <c r="N219" s="5">
        <v>0.72627490378</v>
      </c>
      <c r="O219" s="5">
        <v>220.4126424388</v>
      </c>
      <c r="P219">
        <f t="shared" si="29"/>
        <v>-9.65668629336874E-09</v>
      </c>
      <c r="R219" s="5">
        <v>1.1E-09</v>
      </c>
      <c r="S219" s="5">
        <v>2.30582372873</v>
      </c>
      <c r="T219" s="5">
        <v>16460.3335295249</v>
      </c>
      <c r="U219">
        <f t="shared" si="30"/>
        <v>-9.141528761135702E-10</v>
      </c>
      <c r="BP219" s="5">
        <v>3.67E-09</v>
      </c>
      <c r="BQ219" s="5">
        <v>4.43875659716</v>
      </c>
      <c r="BR219" s="5">
        <v>4535.0594369244</v>
      </c>
      <c r="BS219">
        <f t="shared" si="31"/>
        <v>-2.343615856134422E-09</v>
      </c>
      <c r="BU219" s="5">
        <v>3.6E-10</v>
      </c>
      <c r="BV219" s="5">
        <v>0.77037556319</v>
      </c>
      <c r="BW219" s="5">
        <v>12029.3471878874</v>
      </c>
      <c r="BX219">
        <f t="shared" si="32"/>
        <v>-4.622980803698359E-11</v>
      </c>
    </row>
    <row r="220" spans="13:76" ht="12.75">
      <c r="M220" s="5">
        <v>1.024E-08</v>
      </c>
      <c r="N220" s="5">
        <v>2.19378315386</v>
      </c>
      <c r="O220" s="5">
        <v>11403.676995575</v>
      </c>
      <c r="P220">
        <f t="shared" si="29"/>
        <v>-7.277880704094823E-09</v>
      </c>
      <c r="R220" s="5">
        <v>9.7E-10</v>
      </c>
      <c r="S220" s="5">
        <v>3.5091894021</v>
      </c>
      <c r="T220" s="5">
        <v>5333.9002410216</v>
      </c>
      <c r="U220">
        <f t="shared" si="30"/>
        <v>8.279809415541378E-10</v>
      </c>
      <c r="BP220" s="5">
        <v>4.06E-09</v>
      </c>
      <c r="BQ220" s="5">
        <v>4.208631566</v>
      </c>
      <c r="BR220" s="5">
        <v>12592.4500197826</v>
      </c>
      <c r="BS220">
        <f t="shared" si="31"/>
        <v>-4.011594098224714E-09</v>
      </c>
      <c r="BU220" s="5">
        <v>3.5E-10</v>
      </c>
      <c r="BV220" s="5">
        <v>3.30933994515</v>
      </c>
      <c r="BW220" s="5">
        <v>24072.9214697764</v>
      </c>
      <c r="BX220">
        <f t="shared" si="32"/>
        <v>4.5558254338714113E-11</v>
      </c>
    </row>
    <row r="221" spans="13:76" ht="12.75">
      <c r="M221" s="5">
        <v>8.88E-09</v>
      </c>
      <c r="N221" s="5">
        <v>3.91173199285</v>
      </c>
      <c r="O221" s="5">
        <v>4686.8894077068</v>
      </c>
      <c r="P221">
        <f t="shared" si="29"/>
        <v>-7.198386177083371E-09</v>
      </c>
      <c r="R221" s="5">
        <v>9.9E-10</v>
      </c>
      <c r="S221" s="5">
        <v>3.56417337974</v>
      </c>
      <c r="T221" s="5">
        <v>735.8765135318</v>
      </c>
      <c r="U221">
        <f t="shared" si="30"/>
        <v>6.606607298025492E-10</v>
      </c>
      <c r="BP221" s="5">
        <v>3.6E-09</v>
      </c>
      <c r="BQ221" s="5">
        <v>2.53924644657</v>
      </c>
      <c r="BR221" s="5">
        <v>242.728603974</v>
      </c>
      <c r="BS221">
        <f t="shared" si="31"/>
        <v>3.1637110843873638E-09</v>
      </c>
      <c r="BU221" s="5">
        <v>3.5E-10</v>
      </c>
      <c r="BV221" s="5">
        <v>5.93650887012</v>
      </c>
      <c r="BW221" s="5">
        <v>31570.7996493912</v>
      </c>
      <c r="BX221">
        <f t="shared" si="32"/>
        <v>2.063447060082815E-10</v>
      </c>
    </row>
    <row r="222" spans="13:76" ht="12.75">
      <c r="M222" s="5">
        <v>9.1E-09</v>
      </c>
      <c r="N222" s="5">
        <v>1.98802695087</v>
      </c>
      <c r="O222" s="5">
        <v>735.8765135318</v>
      </c>
      <c r="P222">
        <f t="shared" si="29"/>
        <v>6.7447158225051E-09</v>
      </c>
      <c r="R222" s="5">
        <v>9.4E-10</v>
      </c>
      <c r="S222" s="5">
        <v>5.01857894228</v>
      </c>
      <c r="T222" s="5">
        <v>3128.3887650958</v>
      </c>
      <c r="U222">
        <f t="shared" si="30"/>
        <v>-9.076729762742024E-10</v>
      </c>
      <c r="BP222" s="5">
        <v>4.71E-09</v>
      </c>
      <c r="BQ222" s="5">
        <v>4.61907324819</v>
      </c>
      <c r="BR222" s="5">
        <v>5436.9930152402</v>
      </c>
      <c r="BS222">
        <f t="shared" si="31"/>
        <v>-1.7031893547690755E-09</v>
      </c>
      <c r="BU222" s="5">
        <v>3.6E-10</v>
      </c>
      <c r="BV222" s="5">
        <v>2.15108874765</v>
      </c>
      <c r="BW222" s="5">
        <v>30774.5016425748</v>
      </c>
      <c r="BX222">
        <f t="shared" si="32"/>
        <v>2.1543026919968827E-10</v>
      </c>
    </row>
    <row r="223" spans="13:76" ht="12.75">
      <c r="M223" s="5">
        <v>8.3E-09</v>
      </c>
      <c r="N223" s="5">
        <v>0.48984915507</v>
      </c>
      <c r="O223" s="5">
        <v>24072.9214697764</v>
      </c>
      <c r="P223">
        <f t="shared" si="29"/>
        <v>-3.629922301485862E-09</v>
      </c>
      <c r="R223" s="5">
        <v>9.7E-10</v>
      </c>
      <c r="S223" s="5">
        <v>1.65579893894</v>
      </c>
      <c r="T223" s="5">
        <v>533.2140834436</v>
      </c>
      <c r="U223">
        <f t="shared" si="30"/>
        <v>-7.796374532079782E-10</v>
      </c>
      <c r="BP223" s="5">
        <v>4.41E-09</v>
      </c>
      <c r="BQ223" s="5">
        <v>5.83872966262</v>
      </c>
      <c r="BR223" s="5">
        <v>3496.032826134</v>
      </c>
      <c r="BS223">
        <f t="shared" si="31"/>
        <v>-3.044509212857244E-09</v>
      </c>
      <c r="BU223" s="5">
        <v>3.6E-10</v>
      </c>
      <c r="BV223" s="5">
        <v>1.75078825382</v>
      </c>
      <c r="BW223" s="5">
        <v>16207.886271502</v>
      </c>
      <c r="BX223">
        <f t="shared" si="32"/>
        <v>6.836284138991321E-11</v>
      </c>
    </row>
    <row r="224" spans="13:76" ht="12.75">
      <c r="M224" s="5">
        <v>1.096E-08</v>
      </c>
      <c r="N224" s="5">
        <v>6.17377835617</v>
      </c>
      <c r="O224" s="5">
        <v>5436.9930152402</v>
      </c>
      <c r="P224">
        <f t="shared" si="29"/>
        <v>-1.0280773214737242E-08</v>
      </c>
      <c r="R224" s="5">
        <v>9.2E-10</v>
      </c>
      <c r="S224" s="5">
        <v>0.89217162285</v>
      </c>
      <c r="T224" s="5">
        <v>29296.6153895786</v>
      </c>
      <c r="U224">
        <f t="shared" si="30"/>
        <v>-9.193976920037128E-10</v>
      </c>
      <c r="BP224" s="5">
        <v>3.85E-09</v>
      </c>
      <c r="BQ224" s="5">
        <v>4.94496680973</v>
      </c>
      <c r="BR224" s="5">
        <v>24356.7807886416</v>
      </c>
      <c r="BS224">
        <f t="shared" si="31"/>
        <v>-2.539773551861247E-09</v>
      </c>
      <c r="BU224" s="5">
        <v>3.3E-10</v>
      </c>
      <c r="BV224" s="5">
        <v>5.06264177921</v>
      </c>
      <c r="BW224" s="5">
        <v>226858.23855437</v>
      </c>
      <c r="BX224">
        <f t="shared" si="32"/>
        <v>-6.316617153816895E-11</v>
      </c>
    </row>
    <row r="225" spans="13:76" ht="12.75">
      <c r="M225" s="5">
        <v>9.08E-09</v>
      </c>
      <c r="N225" s="5">
        <v>0.44959639433</v>
      </c>
      <c r="O225" s="5">
        <v>7477.522860216</v>
      </c>
      <c r="P225">
        <f t="shared" si="29"/>
        <v>9.058218534618042E-09</v>
      </c>
      <c r="R225" s="5">
        <v>1.23E-09</v>
      </c>
      <c r="S225" s="5">
        <v>3.16062050433</v>
      </c>
      <c r="T225" s="5">
        <v>9380.9596727172</v>
      </c>
      <c r="U225">
        <f t="shared" si="30"/>
        <v>-1.2114132922824155E-09</v>
      </c>
      <c r="BP225" s="5">
        <v>3.49E-09</v>
      </c>
      <c r="BQ225" s="5">
        <v>6.15018231784</v>
      </c>
      <c r="BR225" s="5">
        <v>19800.9459562248</v>
      </c>
      <c r="BS225">
        <f t="shared" si="31"/>
        <v>2.4026771103440418E-09</v>
      </c>
      <c r="BU225" s="5">
        <v>3.4E-10</v>
      </c>
      <c r="BV225" s="5">
        <v>6.168913788</v>
      </c>
      <c r="BW225" s="5">
        <v>24491.4257925834</v>
      </c>
      <c r="BX225">
        <f t="shared" si="32"/>
        <v>2.525330422899555E-10</v>
      </c>
    </row>
    <row r="226" spans="13:76" ht="12.75">
      <c r="M226" s="5">
        <v>9.74E-09</v>
      </c>
      <c r="N226" s="5">
        <v>1.52996238356</v>
      </c>
      <c r="O226" s="5">
        <v>9623.6882766912</v>
      </c>
      <c r="P226">
        <f t="shared" si="29"/>
        <v>-1.2531466153541614E-09</v>
      </c>
      <c r="R226" s="5">
        <v>1.02E-09</v>
      </c>
      <c r="S226" s="5">
        <v>1.20493500565</v>
      </c>
      <c r="T226" s="5">
        <v>23020.6530865879</v>
      </c>
      <c r="U226">
        <f t="shared" si="30"/>
        <v>3.401814199277754E-10</v>
      </c>
      <c r="BP226" s="5">
        <v>3.55E-09</v>
      </c>
      <c r="BQ226" s="5">
        <v>0.21895678106</v>
      </c>
      <c r="BR226" s="5">
        <v>5429.8794682394</v>
      </c>
      <c r="BS226">
        <f t="shared" si="31"/>
        <v>-2.955507125383505E-09</v>
      </c>
      <c r="BU226" s="5">
        <v>3.5E-10</v>
      </c>
      <c r="BV226" s="5">
        <v>3.19120695549</v>
      </c>
      <c r="BW226" s="5">
        <v>32217.2001810808</v>
      </c>
      <c r="BX226">
        <f t="shared" si="32"/>
        <v>2.9701686702706127E-10</v>
      </c>
    </row>
    <row r="227" spans="13:76" ht="12.75">
      <c r="M227" s="5">
        <v>8.4E-09</v>
      </c>
      <c r="N227" s="5">
        <v>1.79543266333</v>
      </c>
      <c r="O227" s="5">
        <v>5429.8794682394</v>
      </c>
      <c r="P227">
        <f t="shared" si="29"/>
        <v>4.692984204288109E-09</v>
      </c>
      <c r="R227" s="5">
        <v>8.8E-10</v>
      </c>
      <c r="S227" s="5">
        <v>2.21296088224</v>
      </c>
      <c r="T227" s="5">
        <v>12721.572099417</v>
      </c>
      <c r="U227">
        <f t="shared" si="30"/>
        <v>-8.023543259289861E-10</v>
      </c>
      <c r="BP227" s="5">
        <v>3.44E-09</v>
      </c>
      <c r="BQ227" s="5">
        <v>5.62993724928</v>
      </c>
      <c r="BR227" s="5">
        <v>2379.1644735716</v>
      </c>
      <c r="BS227">
        <f t="shared" si="31"/>
        <v>3.334940394409651E-09</v>
      </c>
      <c r="BU227" s="5">
        <v>3.4E-10</v>
      </c>
      <c r="BV227" s="5">
        <v>2.31528650443</v>
      </c>
      <c r="BW227" s="5">
        <v>55798.4583583984</v>
      </c>
      <c r="BX227">
        <f t="shared" si="32"/>
        <v>2.0536547574532025E-10</v>
      </c>
    </row>
    <row r="228" spans="13:76" ht="12.75">
      <c r="M228" s="5">
        <v>7.78E-09</v>
      </c>
      <c r="N228" s="5">
        <v>6.17699177946</v>
      </c>
      <c r="O228" s="5">
        <v>38.1330356378</v>
      </c>
      <c r="P228">
        <f t="shared" si="29"/>
        <v>7.154177098121348E-09</v>
      </c>
      <c r="R228" s="5">
        <v>8.9E-10</v>
      </c>
      <c r="S228" s="5">
        <v>1.5426472031</v>
      </c>
      <c r="T228" s="5">
        <v>20199.094959633</v>
      </c>
      <c r="U228">
        <f t="shared" si="30"/>
        <v>3.7035477266323395E-11</v>
      </c>
      <c r="BP228" s="5">
        <v>3.8E-09</v>
      </c>
      <c r="BQ228" s="5">
        <v>2.72105213143</v>
      </c>
      <c r="BR228" s="5">
        <v>11933.3679606696</v>
      </c>
      <c r="BS228">
        <f t="shared" si="31"/>
        <v>1.9477811067416473E-09</v>
      </c>
      <c r="BU228" s="5">
        <v>3.2E-10</v>
      </c>
      <c r="BV228" s="5">
        <v>4.21446357042</v>
      </c>
      <c r="BW228" s="5">
        <v>15664.0355227085</v>
      </c>
      <c r="BX228">
        <f t="shared" si="32"/>
        <v>3.186141402833154E-10</v>
      </c>
    </row>
    <row r="229" spans="13:76" ht="12.75">
      <c r="M229" s="5">
        <v>7.76E-09</v>
      </c>
      <c r="N229" s="5">
        <v>4.09855402433</v>
      </c>
      <c r="O229" s="5">
        <v>14.2270940016</v>
      </c>
      <c r="P229">
        <f t="shared" si="29"/>
        <v>-3.1893347583835314E-09</v>
      </c>
      <c r="R229" s="5">
        <v>1.13E-09</v>
      </c>
      <c r="S229" s="5">
        <v>4.8332070787</v>
      </c>
      <c r="T229" s="5">
        <v>16496.3613962024</v>
      </c>
      <c r="U229">
        <f t="shared" si="30"/>
        <v>8.479421600361271E-10</v>
      </c>
      <c r="BP229" s="5">
        <v>4.32E-09</v>
      </c>
      <c r="BQ229" s="5">
        <v>0.24221790536</v>
      </c>
      <c r="BR229" s="5">
        <v>17996.0311682222</v>
      </c>
      <c r="BS229">
        <f t="shared" si="31"/>
        <v>-2.467094223297539E-09</v>
      </c>
      <c r="BU229" s="5">
        <v>3.9E-10</v>
      </c>
      <c r="BV229" s="5">
        <v>1.24979117796</v>
      </c>
      <c r="BW229" s="5">
        <v>6418.1409300268</v>
      </c>
      <c r="BX229">
        <f t="shared" si="32"/>
        <v>2.508921283669299E-10</v>
      </c>
    </row>
    <row r="230" spans="13:76" ht="12.75">
      <c r="M230" s="5">
        <v>1.068E-08</v>
      </c>
      <c r="N230" s="5">
        <v>4.64200173735</v>
      </c>
      <c r="O230" s="5">
        <v>43232.3066584156</v>
      </c>
      <c r="P230">
        <f t="shared" si="29"/>
        <v>1.1718433994267163E-09</v>
      </c>
      <c r="R230" s="5">
        <v>1.21E-09</v>
      </c>
      <c r="S230" s="5">
        <v>6.19860353182</v>
      </c>
      <c r="T230" s="5">
        <v>9388.0059094152</v>
      </c>
      <c r="U230">
        <f t="shared" si="30"/>
        <v>1.1897005632817908E-09</v>
      </c>
      <c r="BP230" s="5">
        <v>3.78E-09</v>
      </c>
      <c r="BQ230" s="5">
        <v>5.22517556974</v>
      </c>
      <c r="BR230" s="5">
        <v>7477.522860216</v>
      </c>
      <c r="BS230">
        <f t="shared" si="31"/>
        <v>-2.301606248521974E-11</v>
      </c>
      <c r="BU230" s="5">
        <v>3.7E-10</v>
      </c>
      <c r="BV230" s="5">
        <v>4.1194365577</v>
      </c>
      <c r="BW230" s="5">
        <v>2787.0430238574</v>
      </c>
      <c r="BX230">
        <f t="shared" si="32"/>
        <v>-3.143627269427715E-10</v>
      </c>
    </row>
    <row r="231" spans="13:76" ht="12.75">
      <c r="M231" s="5">
        <v>9.54E-09</v>
      </c>
      <c r="N231" s="5">
        <v>1.49988435748</v>
      </c>
      <c r="O231" s="5">
        <v>1162.4747044078</v>
      </c>
      <c r="P231">
        <f t="shared" si="29"/>
        <v>-2.1817943581414118E-09</v>
      </c>
      <c r="R231" s="5">
        <v>8.9E-10</v>
      </c>
      <c r="S231" s="5">
        <v>4.08082274765</v>
      </c>
      <c r="T231" s="5">
        <v>22805.7355659936</v>
      </c>
      <c r="U231">
        <f t="shared" si="30"/>
        <v>2.956839694130226E-10</v>
      </c>
      <c r="BP231" s="5">
        <v>3.37E-09</v>
      </c>
      <c r="BQ231" s="5">
        <v>5.10888041439</v>
      </c>
      <c r="BR231" s="5">
        <v>5849.3641121146</v>
      </c>
      <c r="BS231">
        <f t="shared" si="31"/>
        <v>-3.0991514876558597E-10</v>
      </c>
      <c r="BU231" s="5">
        <v>3.2E-10</v>
      </c>
      <c r="BV231" s="5">
        <v>1.6288771089</v>
      </c>
      <c r="BW231" s="5">
        <v>639.897286314</v>
      </c>
      <c r="BX231">
        <f t="shared" si="32"/>
        <v>-2.313416618543646E-10</v>
      </c>
    </row>
    <row r="232" spans="13:76" ht="12.75">
      <c r="M232" s="5">
        <v>9.07E-09</v>
      </c>
      <c r="N232" s="5">
        <v>0.86986870809</v>
      </c>
      <c r="O232" s="5">
        <v>10344.2950653858</v>
      </c>
      <c r="P232">
        <f t="shared" si="29"/>
        <v>4.938303780703697E-09</v>
      </c>
      <c r="R232" s="5">
        <v>9.8E-10</v>
      </c>
      <c r="S232" s="5">
        <v>1.0918183283</v>
      </c>
      <c r="T232" s="5">
        <v>12043.574281889</v>
      </c>
      <c r="U232">
        <f t="shared" si="30"/>
        <v>3.66193283342364E-10</v>
      </c>
      <c r="BP232" s="5">
        <v>3.15E-09</v>
      </c>
      <c r="BQ232" s="5">
        <v>0.57827745123</v>
      </c>
      <c r="BR232" s="5">
        <v>10557.5941608238</v>
      </c>
      <c r="BS232">
        <f t="shared" si="31"/>
        <v>-2.8829437926373803E-09</v>
      </c>
      <c r="BU232" s="5">
        <v>3.8E-10</v>
      </c>
      <c r="BV232" s="5">
        <v>5.89832942685</v>
      </c>
      <c r="BW232" s="5">
        <v>640.8776073822</v>
      </c>
      <c r="BX232">
        <f t="shared" si="32"/>
        <v>-1.2418535059793785E-10</v>
      </c>
    </row>
    <row r="233" spans="13:76" ht="12.75">
      <c r="M233" s="5">
        <v>9.31E-09</v>
      </c>
      <c r="N233" s="5">
        <v>4.06044689031</v>
      </c>
      <c r="O233" s="5">
        <v>28766.924424484</v>
      </c>
      <c r="P233">
        <f t="shared" si="29"/>
        <v>6.884066648065458E-09</v>
      </c>
      <c r="R233" s="5">
        <v>8.6E-10</v>
      </c>
      <c r="S233" s="5">
        <v>1.13655027605</v>
      </c>
      <c r="T233" s="5">
        <v>143571.324284816</v>
      </c>
      <c r="U233">
        <f t="shared" si="30"/>
        <v>2.7326098867650297E-10</v>
      </c>
      <c r="BP233" s="5">
        <v>3.18E-09</v>
      </c>
      <c r="BQ233" s="5">
        <v>4.49953141399</v>
      </c>
      <c r="BR233" s="5">
        <v>3634.6210245184</v>
      </c>
      <c r="BS233">
        <f t="shared" si="31"/>
        <v>-3.0432034410044798E-09</v>
      </c>
      <c r="BU233" s="5">
        <v>3.2E-10</v>
      </c>
      <c r="BV233" s="5">
        <v>1.72442327688</v>
      </c>
      <c r="BW233" s="5">
        <v>27433.8892158749</v>
      </c>
      <c r="BX233">
        <f t="shared" si="32"/>
        <v>-1.4879982007006503E-10</v>
      </c>
    </row>
    <row r="234" spans="13:76" ht="12.75">
      <c r="M234" s="5">
        <v>7.39E-09</v>
      </c>
      <c r="N234" s="5">
        <v>5.04368197372</v>
      </c>
      <c r="O234" s="5">
        <v>639.897286314</v>
      </c>
      <c r="P234">
        <f t="shared" si="29"/>
        <v>3.766707032912021E-09</v>
      </c>
      <c r="R234" s="5">
        <v>8.8E-10</v>
      </c>
      <c r="S234" s="5">
        <v>5.96980472191</v>
      </c>
      <c r="T234" s="5">
        <v>107.6635239386</v>
      </c>
      <c r="U234">
        <f t="shared" si="30"/>
        <v>3.7814679178743474E-10</v>
      </c>
      <c r="BP234" s="5">
        <v>3.23E-09</v>
      </c>
      <c r="BQ234" s="5">
        <v>1.54274281393</v>
      </c>
      <c r="BR234" s="5">
        <v>10440.2742926036</v>
      </c>
      <c r="BS234">
        <f t="shared" si="31"/>
        <v>-3.171904669082706E-09</v>
      </c>
      <c r="BU234" s="5">
        <v>3.1E-10</v>
      </c>
      <c r="BV234" s="5">
        <v>2.78828943753</v>
      </c>
      <c r="BW234" s="5">
        <v>12139.5535091068</v>
      </c>
      <c r="BX234">
        <f t="shared" si="32"/>
        <v>-6.812374086860926E-11</v>
      </c>
    </row>
    <row r="235" spans="13:76" ht="12.75">
      <c r="M235" s="5">
        <v>9.37E-09</v>
      </c>
      <c r="N235" s="5">
        <v>3.4688469896</v>
      </c>
      <c r="O235" s="5">
        <v>1589.0728952838</v>
      </c>
      <c r="P235">
        <f t="shared" si="29"/>
        <v>8.593432297800687E-09</v>
      </c>
      <c r="R235" s="5">
        <v>8.2E-10</v>
      </c>
      <c r="S235" s="5">
        <v>5.01340404594</v>
      </c>
      <c r="T235" s="5">
        <v>22003.9146348698</v>
      </c>
      <c r="U235">
        <f t="shared" si="30"/>
        <v>-5.31815678305126E-10</v>
      </c>
      <c r="BP235" s="5">
        <v>3.09E-09</v>
      </c>
      <c r="BQ235" s="5">
        <v>5.76839284397</v>
      </c>
      <c r="BR235" s="5">
        <v>20.7753954924</v>
      </c>
      <c r="BS235">
        <f t="shared" si="31"/>
        <v>3.003681688282487E-09</v>
      </c>
      <c r="BU235" s="5">
        <v>3.5E-10</v>
      </c>
      <c r="BV235" s="5">
        <v>4.44608896525</v>
      </c>
      <c r="BW235" s="5">
        <v>18202.2167166593</v>
      </c>
      <c r="BX235">
        <f t="shared" si="32"/>
        <v>-3.359264356177579E-10</v>
      </c>
    </row>
    <row r="236" spans="13:76" ht="12.75">
      <c r="M236" s="5">
        <v>7.63E-09</v>
      </c>
      <c r="N236" s="5">
        <v>5.86304932998</v>
      </c>
      <c r="O236" s="5">
        <v>16858.4825329332</v>
      </c>
      <c r="P236">
        <f t="shared" si="29"/>
        <v>3.2408838949552828E-09</v>
      </c>
      <c r="R236" s="5">
        <v>9.4E-10</v>
      </c>
      <c r="S236" s="5">
        <v>1.69615700473</v>
      </c>
      <c r="T236" s="5">
        <v>23006.4259925863</v>
      </c>
      <c r="U236">
        <f t="shared" si="30"/>
        <v>3.67365311620153E-11</v>
      </c>
      <c r="BP236" s="5">
        <v>3.01E-09</v>
      </c>
      <c r="BQ236" s="5">
        <v>2.34727604008</v>
      </c>
      <c r="BR236" s="5">
        <v>4686.8894077068</v>
      </c>
      <c r="BS236">
        <f t="shared" si="31"/>
        <v>-1.7779705170229057E-09</v>
      </c>
      <c r="BU236" s="5">
        <v>3.4E-10</v>
      </c>
      <c r="BV236" s="5">
        <v>3.96287980676</v>
      </c>
      <c r="BW236" s="5">
        <v>18216.443810661</v>
      </c>
      <c r="BX236">
        <f t="shared" si="32"/>
        <v>-2.8486869912732794E-10</v>
      </c>
    </row>
    <row r="237" spans="13:76" ht="12.75">
      <c r="M237" s="5">
        <v>9.53E-09</v>
      </c>
      <c r="N237" s="5">
        <v>4.20801492835</v>
      </c>
      <c r="O237" s="5">
        <v>11190.377900137</v>
      </c>
      <c r="P237">
        <f t="shared" si="29"/>
        <v>-9.513758995994002E-09</v>
      </c>
      <c r="R237" s="5">
        <v>8.1E-10</v>
      </c>
      <c r="S237" s="5">
        <v>3.00657814365</v>
      </c>
      <c r="T237" s="5">
        <v>2118.7638603784</v>
      </c>
      <c r="U237">
        <f t="shared" si="30"/>
        <v>8.079696339228427E-10</v>
      </c>
      <c r="BP237" s="5">
        <v>4.14E-09</v>
      </c>
      <c r="BQ237" s="5">
        <v>5.9323760231</v>
      </c>
      <c r="BR237" s="5">
        <v>51092.7260508548</v>
      </c>
      <c r="BS237">
        <f t="shared" si="31"/>
        <v>-1.146060187473685E-09</v>
      </c>
      <c r="BU237" s="5">
        <v>3.3E-10</v>
      </c>
      <c r="BV237" s="5">
        <v>4.73611335874</v>
      </c>
      <c r="BW237" s="5">
        <v>16723.350142595</v>
      </c>
      <c r="BX237">
        <f t="shared" si="32"/>
        <v>-1.986455644453751E-10</v>
      </c>
    </row>
    <row r="238" spans="13:76" ht="12.75">
      <c r="M238" s="5">
        <v>7.08E-09</v>
      </c>
      <c r="N238" s="5">
        <v>1.7289998894</v>
      </c>
      <c r="O238" s="5">
        <v>13095.8426650774</v>
      </c>
      <c r="P238">
        <f t="shared" si="29"/>
        <v>4.077357573968542E-09</v>
      </c>
      <c r="R238" s="5">
        <v>9.8E-10</v>
      </c>
      <c r="S238" s="5">
        <v>1.39215287161</v>
      </c>
      <c r="T238" s="5">
        <v>8662.240323563</v>
      </c>
      <c r="U238">
        <f t="shared" si="30"/>
        <v>-5.2043887532268E-10</v>
      </c>
      <c r="BP238" s="5">
        <v>3.61E-09</v>
      </c>
      <c r="BQ238" s="5">
        <v>2.1639860955</v>
      </c>
      <c r="BR238" s="5">
        <v>28237.2334593894</v>
      </c>
      <c r="BS238">
        <f t="shared" si="31"/>
        <v>-3.454168614719576E-09</v>
      </c>
      <c r="BU238" s="5">
        <v>3.4E-10</v>
      </c>
      <c r="BV238" s="5">
        <v>1.43910280005</v>
      </c>
      <c r="BW238" s="5">
        <v>49515.382508407</v>
      </c>
      <c r="BX238">
        <f t="shared" si="32"/>
        <v>-2.2876485745828724E-10</v>
      </c>
    </row>
    <row r="239" spans="13:76" ht="12.75">
      <c r="M239" s="5">
        <v>9.69E-09</v>
      </c>
      <c r="N239" s="5">
        <v>1.64439522215</v>
      </c>
      <c r="O239" s="5">
        <v>29088.811415985</v>
      </c>
      <c r="P239">
        <f t="shared" si="29"/>
        <v>3.952766915387671E-09</v>
      </c>
      <c r="R239" s="5">
        <v>7.7E-10</v>
      </c>
      <c r="S239" s="5">
        <v>3.3355519084</v>
      </c>
      <c r="T239" s="5">
        <v>15720.8387848784</v>
      </c>
      <c r="U239">
        <f t="shared" si="30"/>
        <v>7.697384541376767E-10</v>
      </c>
      <c r="BP239" s="5">
        <v>2.88E-09</v>
      </c>
      <c r="BQ239" s="5">
        <v>0.18376252189</v>
      </c>
      <c r="BR239" s="5">
        <v>13095.8426650774</v>
      </c>
      <c r="BS239">
        <f t="shared" si="31"/>
        <v>2.3960802793860387E-09</v>
      </c>
      <c r="BU239" s="5">
        <v>3.1E-10</v>
      </c>
      <c r="BV239" s="5">
        <v>0.23302920161</v>
      </c>
      <c r="BW239" s="5">
        <v>23581.2581773176</v>
      </c>
      <c r="BX239">
        <f t="shared" si="32"/>
        <v>3.002503089737973E-11</v>
      </c>
    </row>
    <row r="240" spans="13:76" ht="12.75">
      <c r="M240" s="5">
        <v>7.17E-09</v>
      </c>
      <c r="N240" s="5">
        <v>0.16688678895</v>
      </c>
      <c r="O240" s="5">
        <v>11.729352836</v>
      </c>
      <c r="P240">
        <f t="shared" si="29"/>
        <v>6.797472902571844E-09</v>
      </c>
      <c r="R240" s="5">
        <v>8.2E-10</v>
      </c>
      <c r="S240" s="5">
        <v>5.86880116464</v>
      </c>
      <c r="T240" s="5">
        <v>2787.0430238574</v>
      </c>
      <c r="U240">
        <f t="shared" si="30"/>
        <v>5.49323548711342E-10</v>
      </c>
      <c r="BP240" s="5">
        <v>2.77E-09</v>
      </c>
      <c r="BQ240" s="5">
        <v>5.12952205045</v>
      </c>
      <c r="BR240" s="5">
        <v>13119.7211028251</v>
      </c>
      <c r="BS240">
        <f t="shared" si="31"/>
        <v>-9.80314339285695E-11</v>
      </c>
      <c r="BU240" s="5">
        <v>2.9E-10</v>
      </c>
      <c r="BV240" s="5">
        <v>2.0263384022</v>
      </c>
      <c r="BW240" s="5">
        <v>11609.8625440122</v>
      </c>
      <c r="BX240">
        <f t="shared" si="32"/>
        <v>2.8243182178204696E-10</v>
      </c>
    </row>
    <row r="241" spans="13:76" ht="12.75">
      <c r="M241" s="5">
        <v>9.62E-09</v>
      </c>
      <c r="N241" s="5">
        <v>3.53092337542</v>
      </c>
      <c r="O241" s="5">
        <v>12416.5885028482</v>
      </c>
      <c r="P241">
        <f t="shared" si="29"/>
        <v>9.611173101776873E-09</v>
      </c>
      <c r="R241" s="5">
        <v>7.6E-10</v>
      </c>
      <c r="S241" s="5">
        <v>5.67183650604</v>
      </c>
      <c r="T241" s="5">
        <v>14.2270940016</v>
      </c>
      <c r="U241">
        <f t="shared" si="30"/>
        <v>6.93618402961875E-10</v>
      </c>
      <c r="BP241" s="5">
        <v>3.27E-09</v>
      </c>
      <c r="BQ241" s="5">
        <v>6.19222146204</v>
      </c>
      <c r="BR241" s="5">
        <v>6268.8487559898</v>
      </c>
      <c r="BS241">
        <f t="shared" si="31"/>
        <v>-1.5759462830232104E-09</v>
      </c>
      <c r="BU241" s="5">
        <v>3E-10</v>
      </c>
      <c r="BV241" s="5">
        <v>2.5492323024</v>
      </c>
      <c r="BW241" s="5">
        <v>9924.8104215106</v>
      </c>
      <c r="BX241">
        <f t="shared" si="32"/>
        <v>-2.9369500113593016E-10</v>
      </c>
    </row>
    <row r="242" spans="13:76" ht="12.75">
      <c r="M242" s="5">
        <v>7.47E-09</v>
      </c>
      <c r="N242" s="5">
        <v>5.77866940346</v>
      </c>
      <c r="O242" s="5">
        <v>12592.4500197826</v>
      </c>
      <c r="P242">
        <f t="shared" si="29"/>
        <v>-1.1556656692774678E-09</v>
      </c>
      <c r="R242" s="5">
        <v>8.1E-10</v>
      </c>
      <c r="S242" s="5">
        <v>6.16619455699</v>
      </c>
      <c r="T242" s="5">
        <v>1039.0266107904</v>
      </c>
      <c r="U242">
        <f t="shared" si="30"/>
        <v>2.831774543326114E-10</v>
      </c>
      <c r="BP242" s="5">
        <v>2.73E-09</v>
      </c>
      <c r="BQ242" s="5">
        <v>0.30522428863</v>
      </c>
      <c r="BR242" s="5">
        <v>23141.5583829246</v>
      </c>
      <c r="BS242">
        <f t="shared" si="31"/>
        <v>-1.0059559545877793E-09</v>
      </c>
      <c r="BU242" s="5">
        <v>3.2E-10</v>
      </c>
      <c r="BV242" s="5">
        <v>4.91793198558</v>
      </c>
      <c r="BW242" s="5">
        <v>11300.5842213564</v>
      </c>
      <c r="BX242">
        <f t="shared" si="32"/>
        <v>1.6855216606288279E-10</v>
      </c>
    </row>
    <row r="243" spans="13:76" ht="12.75">
      <c r="M243" s="5">
        <v>6.72E-09</v>
      </c>
      <c r="N243" s="5">
        <v>1.91095796194</v>
      </c>
      <c r="O243" s="5">
        <v>3.9321532631</v>
      </c>
      <c r="P243">
        <f t="shared" si="29"/>
        <v>-2.5719754909700955E-09</v>
      </c>
      <c r="R243" s="5">
        <v>7.6E-10</v>
      </c>
      <c r="S243" s="5">
        <v>3.21449884756</v>
      </c>
      <c r="T243" s="5">
        <v>111.1866422876</v>
      </c>
      <c r="U243">
        <f t="shared" si="30"/>
        <v>-8.181625146036206E-12</v>
      </c>
      <c r="BP243" s="5">
        <v>2.67E-09</v>
      </c>
      <c r="BQ243" s="5">
        <v>5.76152585786</v>
      </c>
      <c r="BR243" s="5">
        <v>5966.6839803348</v>
      </c>
      <c r="BS243">
        <f t="shared" si="31"/>
        <v>-1.9661224997589304E-09</v>
      </c>
      <c r="BU243" s="5">
        <v>2.8E-10</v>
      </c>
      <c r="BV243" s="5">
        <v>0.26187189577</v>
      </c>
      <c r="BW243" s="5">
        <v>13521.7514415914</v>
      </c>
      <c r="BX243">
        <f t="shared" si="32"/>
        <v>1.2783552270521928E-10</v>
      </c>
    </row>
    <row r="244" spans="13:76" ht="12.75">
      <c r="M244" s="5">
        <v>6.71E-09</v>
      </c>
      <c r="N244" s="5">
        <v>5.46240843677</v>
      </c>
      <c r="O244" s="5">
        <v>18052.9295431578</v>
      </c>
      <c r="P244">
        <f t="shared" si="29"/>
        <v>-2.0204172063891136E-09</v>
      </c>
      <c r="R244" s="5">
        <v>7.8E-10</v>
      </c>
      <c r="S244" s="5">
        <v>1.37531518377</v>
      </c>
      <c r="T244" s="5">
        <v>21947.1113727</v>
      </c>
      <c r="U244">
        <f t="shared" si="30"/>
        <v>7.210933241435689E-10</v>
      </c>
      <c r="BP244" s="5">
        <v>3.08E-09</v>
      </c>
      <c r="BQ244" s="5">
        <v>5.99280509979</v>
      </c>
      <c r="BR244" s="5">
        <v>22805.7355659936</v>
      </c>
      <c r="BS244">
        <f t="shared" si="31"/>
        <v>-3.0799902203410333E-09</v>
      </c>
      <c r="BU244" s="5">
        <v>2.8E-10</v>
      </c>
      <c r="BV244" s="5">
        <v>3.84568936822</v>
      </c>
      <c r="BW244" s="5">
        <v>2699.7348193176</v>
      </c>
      <c r="BX244">
        <f t="shared" si="32"/>
        <v>-1.7710816131570836E-10</v>
      </c>
    </row>
    <row r="245" spans="13:76" ht="12.75">
      <c r="M245" s="5">
        <v>6.75E-09</v>
      </c>
      <c r="N245" s="5">
        <v>6.28311558823</v>
      </c>
      <c r="O245" s="5">
        <v>4535.0594369244</v>
      </c>
      <c r="P245">
        <f t="shared" si="29"/>
        <v>-3.8367695829055955E-09</v>
      </c>
      <c r="R245" s="5">
        <v>7.4E-10</v>
      </c>
      <c r="S245" s="5">
        <v>3.58814195051</v>
      </c>
      <c r="T245" s="5">
        <v>11609.8625440122</v>
      </c>
      <c r="U245">
        <f t="shared" si="30"/>
        <v>-1.6146666731587304E-10</v>
      </c>
      <c r="BP245" s="5">
        <v>3.45E-09</v>
      </c>
      <c r="BQ245" s="5">
        <v>2.92489919444</v>
      </c>
      <c r="BR245" s="5">
        <v>36949.2308084242</v>
      </c>
      <c r="BS245">
        <f t="shared" si="31"/>
        <v>2.523586498075505E-09</v>
      </c>
      <c r="BU245" s="5">
        <v>2.9E-10</v>
      </c>
      <c r="BV245" s="5">
        <v>1.83149729794</v>
      </c>
      <c r="BW245" s="5">
        <v>29822.7832363242</v>
      </c>
      <c r="BX245">
        <f t="shared" si="32"/>
        <v>4.592789493541176E-11</v>
      </c>
    </row>
    <row r="246" spans="13:76" ht="12.75">
      <c r="M246" s="5">
        <v>6.84E-09</v>
      </c>
      <c r="N246" s="5">
        <v>0.3997501208</v>
      </c>
      <c r="O246" s="5">
        <v>5849.3641121146</v>
      </c>
      <c r="P246">
        <f t="shared" si="29"/>
        <v>-6.808929055601421E-09</v>
      </c>
      <c r="R246" s="5">
        <v>7.7E-10</v>
      </c>
      <c r="S246" s="5">
        <v>4.84846488388</v>
      </c>
      <c r="T246" s="5">
        <v>22743.4093795164</v>
      </c>
      <c r="U246">
        <f t="shared" si="30"/>
        <v>3.0313856780483666E-10</v>
      </c>
      <c r="BP246" s="5">
        <v>2.53E-09</v>
      </c>
      <c r="BQ246" s="5">
        <v>5.20995219509</v>
      </c>
      <c r="BR246" s="5">
        <v>24072.9214697764</v>
      </c>
      <c r="BS246">
        <f t="shared" si="31"/>
        <v>2.266616450212361E-09</v>
      </c>
      <c r="BU246" s="5">
        <v>3.3E-10</v>
      </c>
      <c r="BV246" s="5">
        <v>4.60320094415</v>
      </c>
      <c r="BW246" s="5">
        <v>19004.6479494084</v>
      </c>
      <c r="BX246">
        <f t="shared" si="32"/>
        <v>1.2560398198768806E-10</v>
      </c>
    </row>
    <row r="247" spans="13:76" ht="12.75">
      <c r="M247" s="5">
        <v>7.99E-09</v>
      </c>
      <c r="N247" s="5">
        <v>0.29851185294</v>
      </c>
      <c r="O247" s="5">
        <v>12132.439962106</v>
      </c>
      <c r="P247">
        <f t="shared" si="29"/>
        <v>5.609159552593007E-09</v>
      </c>
      <c r="R247" s="5">
        <v>9E-10</v>
      </c>
      <c r="S247" s="5">
        <v>1.48869013606</v>
      </c>
      <c r="T247" s="5">
        <v>15671.0817594066</v>
      </c>
      <c r="U247">
        <f t="shared" si="30"/>
        <v>-7.411903056307752E-10</v>
      </c>
      <c r="BP247" s="5">
        <v>3.42E-09</v>
      </c>
      <c r="BQ247" s="5">
        <v>5.72702586209</v>
      </c>
      <c r="BR247" s="5">
        <v>16460.3335295249</v>
      </c>
      <c r="BS247">
        <f t="shared" si="31"/>
        <v>3.2567747248675042E-09</v>
      </c>
      <c r="BU247" s="5">
        <v>2.7E-10</v>
      </c>
      <c r="BV247" s="5">
        <v>4.46183450287</v>
      </c>
      <c r="BW247" s="5">
        <v>6702.5604938666</v>
      </c>
      <c r="BX247">
        <f t="shared" si="32"/>
        <v>2.673958510975385E-10</v>
      </c>
    </row>
    <row r="248" spans="13:76" ht="12.75">
      <c r="M248" s="5">
        <v>7.58E-09</v>
      </c>
      <c r="N248" s="5">
        <v>0.96370823331</v>
      </c>
      <c r="O248" s="5">
        <v>1052.2683831884</v>
      </c>
      <c r="P248">
        <f t="shared" si="29"/>
        <v>-5.940736053508743E-09</v>
      </c>
      <c r="R248" s="5">
        <v>8.2E-10</v>
      </c>
      <c r="S248" s="5">
        <v>3.48618399109</v>
      </c>
      <c r="T248" s="5">
        <v>29088.811415985</v>
      </c>
      <c r="U248">
        <f t="shared" si="30"/>
        <v>-8.108919087964154E-10</v>
      </c>
      <c r="BP248" s="5">
        <v>2.61E-09</v>
      </c>
      <c r="BQ248" s="5">
        <v>2.00304796059</v>
      </c>
      <c r="BR248" s="5">
        <v>6148.010769956</v>
      </c>
      <c r="BS248">
        <f t="shared" si="31"/>
        <v>-2.168569535787992E-09</v>
      </c>
      <c r="BU248" s="5">
        <v>3E-10</v>
      </c>
      <c r="BV248" s="5">
        <v>4.4649407224</v>
      </c>
      <c r="BW248" s="5">
        <v>36147.4098773004</v>
      </c>
      <c r="BX248">
        <f t="shared" si="32"/>
        <v>-1.6441742977168335E-10</v>
      </c>
    </row>
    <row r="249" spans="13:76" ht="12.75">
      <c r="M249" s="5">
        <v>7.82E-09</v>
      </c>
      <c r="N249" s="5">
        <v>5.33878339919</v>
      </c>
      <c r="O249" s="5">
        <v>13517.8701062334</v>
      </c>
      <c r="P249">
        <f t="shared" si="29"/>
        <v>-5.5222097231058565E-09</v>
      </c>
      <c r="R249" s="5">
        <v>6.9E-10</v>
      </c>
      <c r="S249" s="5">
        <v>3.55746476593</v>
      </c>
      <c r="T249" s="5">
        <v>4590.910180489</v>
      </c>
      <c r="U249">
        <f t="shared" si="30"/>
        <v>-3.6556788822783545E-10</v>
      </c>
      <c r="BP249" s="5">
        <v>2.38E-09</v>
      </c>
      <c r="BQ249" s="5">
        <v>5.08264392839</v>
      </c>
      <c r="BR249" s="5">
        <v>6915.8595893046</v>
      </c>
      <c r="BS249">
        <f t="shared" si="31"/>
        <v>-2.3357662767776224E-09</v>
      </c>
      <c r="BU249" s="5">
        <v>2.7E-10</v>
      </c>
      <c r="BV249" s="5">
        <v>0.03211931363</v>
      </c>
      <c r="BW249" s="5">
        <v>6279.7894925736</v>
      </c>
      <c r="BX249">
        <f t="shared" si="32"/>
        <v>-1.8839877668234972E-10</v>
      </c>
    </row>
    <row r="250" spans="13:76" ht="12.75">
      <c r="M250" s="5">
        <v>7.3E-09</v>
      </c>
      <c r="N250" s="5">
        <v>1.70106160291</v>
      </c>
      <c r="O250" s="5">
        <v>17267.2682016911</v>
      </c>
      <c r="P250">
        <f t="shared" si="29"/>
        <v>7.190492762516698E-09</v>
      </c>
      <c r="R250" s="5">
        <v>6.9E-10</v>
      </c>
      <c r="S250" s="5">
        <v>1.93625656075</v>
      </c>
      <c r="T250" s="5">
        <v>135.62532501</v>
      </c>
      <c r="U250">
        <f t="shared" si="30"/>
        <v>-5.660876232707183E-10</v>
      </c>
      <c r="BP250" s="5">
        <v>2.49E-09</v>
      </c>
      <c r="BQ250" s="5">
        <v>2.94762789744</v>
      </c>
      <c r="BR250" s="5">
        <v>135.0650800354</v>
      </c>
      <c r="BS250">
        <f t="shared" si="31"/>
        <v>1.0389833534849212E-10</v>
      </c>
      <c r="BU250" s="5">
        <v>2.6E-10</v>
      </c>
      <c r="BV250" s="5">
        <v>5.46497324333</v>
      </c>
      <c r="BW250" s="5">
        <v>6245.0481773556</v>
      </c>
      <c r="BX250">
        <f t="shared" si="32"/>
        <v>1.3427994955925905E-10</v>
      </c>
    </row>
    <row r="251" spans="13:76" ht="12.75">
      <c r="M251" s="5">
        <v>7.49E-09</v>
      </c>
      <c r="N251" s="5">
        <v>2.59599901875</v>
      </c>
      <c r="O251" s="5">
        <v>11609.8625440122</v>
      </c>
      <c r="P251">
        <f t="shared" si="29"/>
        <v>5.225736605445534E-09</v>
      </c>
      <c r="R251" s="5">
        <v>7E-10</v>
      </c>
      <c r="S251" s="5">
        <v>2.66548322237</v>
      </c>
      <c r="T251" s="5">
        <v>18875.525869774</v>
      </c>
      <c r="U251">
        <f t="shared" si="30"/>
        <v>-5.541962478908862E-10</v>
      </c>
      <c r="BP251" s="5">
        <v>3.06E-09</v>
      </c>
      <c r="BQ251" s="5">
        <v>3.89764686987</v>
      </c>
      <c r="BR251" s="5">
        <v>10988.808157535</v>
      </c>
      <c r="BS251">
        <f t="shared" si="31"/>
        <v>3.050972244784384E-09</v>
      </c>
      <c r="BU251" s="5">
        <v>3.5E-10</v>
      </c>
      <c r="BV251" s="5">
        <v>4.52695674113</v>
      </c>
      <c r="BW251" s="5">
        <v>36949.2308084242</v>
      </c>
      <c r="BX251">
        <f t="shared" si="32"/>
        <v>-2.465396012799982E-10</v>
      </c>
    </row>
    <row r="252" spans="13:76" ht="12.75">
      <c r="M252" s="5">
        <v>7.34E-09</v>
      </c>
      <c r="N252" s="5">
        <v>2.78417782952</v>
      </c>
      <c r="O252" s="5">
        <v>640.8776073822</v>
      </c>
      <c r="P252">
        <f t="shared" si="29"/>
        <v>2.588169103755384E-09</v>
      </c>
      <c r="R252" s="5">
        <v>6.9E-10</v>
      </c>
      <c r="S252" s="5">
        <v>5.41478093731</v>
      </c>
      <c r="T252" s="5">
        <v>26735.9452622132</v>
      </c>
      <c r="U252">
        <f t="shared" si="30"/>
        <v>1.0644589489883785E-10</v>
      </c>
      <c r="BP252" s="5">
        <v>3.05E-09</v>
      </c>
      <c r="BQ252" s="5">
        <v>0.05827812117</v>
      </c>
      <c r="BR252" s="5">
        <v>4701.1165017084</v>
      </c>
      <c r="BS252">
        <f t="shared" si="31"/>
        <v>3.0335213220964125E-09</v>
      </c>
      <c r="BU252" s="5">
        <v>2.7E-10</v>
      </c>
      <c r="BV252" s="5">
        <v>3.52528177609</v>
      </c>
      <c r="BW252" s="5">
        <v>10770.8932562618</v>
      </c>
      <c r="BX252">
        <f t="shared" si="32"/>
        <v>-2.693657378438778E-10</v>
      </c>
    </row>
    <row r="253" spans="13:76" ht="12.75">
      <c r="M253" s="5">
        <v>6.88E-09</v>
      </c>
      <c r="N253" s="5">
        <v>5.15048287468</v>
      </c>
      <c r="O253" s="5">
        <v>16496.3613962024</v>
      </c>
      <c r="P253">
        <f t="shared" si="29"/>
        <v>6.323785859561574E-09</v>
      </c>
      <c r="R253" s="5">
        <v>7.9E-10</v>
      </c>
      <c r="S253" s="5">
        <v>5.15154513662</v>
      </c>
      <c r="T253" s="5">
        <v>12323.4230960088</v>
      </c>
      <c r="U253">
        <f t="shared" si="30"/>
        <v>7.469397073590131E-10</v>
      </c>
      <c r="BP253" s="5">
        <v>3.19E-09</v>
      </c>
      <c r="BQ253" s="5">
        <v>2.95712862064</v>
      </c>
      <c r="BR253" s="5">
        <v>163096.180361183</v>
      </c>
      <c r="BS253">
        <f t="shared" si="31"/>
        <v>-1.8125834980616044E-09</v>
      </c>
      <c r="BU253" s="5">
        <v>2.6E-10</v>
      </c>
      <c r="BV253" s="5">
        <v>1.48499438453</v>
      </c>
      <c r="BW253" s="5">
        <v>11080.1715789176</v>
      </c>
      <c r="BX253">
        <f t="shared" si="32"/>
        <v>1.1471910583735041E-10</v>
      </c>
    </row>
    <row r="254" spans="13:76" ht="12.75">
      <c r="M254" s="5">
        <v>7.7E-09</v>
      </c>
      <c r="N254" s="5">
        <v>1.62469589333</v>
      </c>
      <c r="O254" s="5">
        <v>4701.1165017084</v>
      </c>
      <c r="P254">
        <f t="shared" si="29"/>
        <v>-7.657961218458395E-10</v>
      </c>
      <c r="R254" s="5">
        <v>9.4E-10</v>
      </c>
      <c r="S254" s="5">
        <v>3.62899392448</v>
      </c>
      <c r="T254" s="5">
        <v>77713.7714681205</v>
      </c>
      <c r="U254">
        <f t="shared" si="30"/>
        <v>9.390809212621339E-10</v>
      </c>
      <c r="BP254" s="5">
        <v>2.09E-09</v>
      </c>
      <c r="BQ254" s="5">
        <v>4.43768461442</v>
      </c>
      <c r="BR254" s="5">
        <v>6546.1597733642</v>
      </c>
      <c r="BS254">
        <f t="shared" si="31"/>
        <v>-1.3210206781268025E-09</v>
      </c>
      <c r="BU254" s="5">
        <v>3.5E-10</v>
      </c>
      <c r="BV254" s="5">
        <v>2.82154380962</v>
      </c>
      <c r="BW254" s="5">
        <v>19402.7969528166</v>
      </c>
      <c r="BX254">
        <f t="shared" si="32"/>
        <v>4.039002370405093E-12</v>
      </c>
    </row>
    <row r="255" spans="13:76" ht="12.75">
      <c r="M255" s="5">
        <v>6.33E-09</v>
      </c>
      <c r="N255" s="5">
        <v>2.20587893893</v>
      </c>
      <c r="O255" s="5">
        <v>25934.1243310894</v>
      </c>
      <c r="P255">
        <f t="shared" si="29"/>
        <v>-5.926955740120038E-09</v>
      </c>
      <c r="R255" s="5">
        <v>7.8E-10</v>
      </c>
      <c r="S255" s="5">
        <v>4.17011182047</v>
      </c>
      <c r="T255" s="5">
        <v>1066.49547719</v>
      </c>
      <c r="U255">
        <f t="shared" si="30"/>
        <v>7.137795479103411E-10</v>
      </c>
      <c r="BP255" s="5">
        <v>2.7E-09</v>
      </c>
      <c r="BQ255" s="5">
        <v>2.06643178717</v>
      </c>
      <c r="BR255" s="5">
        <v>4804.209275927</v>
      </c>
      <c r="BS255">
        <f t="shared" si="31"/>
        <v>-2.5368362219722205E-09</v>
      </c>
      <c r="BU255" s="5">
        <v>2.5E-10</v>
      </c>
      <c r="BV255" s="5">
        <v>2.46339998836</v>
      </c>
      <c r="BW255" s="5">
        <v>6279.4854213396</v>
      </c>
      <c r="BX255">
        <f t="shared" si="32"/>
        <v>1.4468217351585579E-11</v>
      </c>
    </row>
    <row r="256" spans="13:76" ht="12.75">
      <c r="M256" s="5">
        <v>7.6E-09</v>
      </c>
      <c r="N256" s="5">
        <v>4.21317219403</v>
      </c>
      <c r="O256" s="5">
        <v>377.3736079158</v>
      </c>
      <c r="P256">
        <f t="shared" si="29"/>
        <v>-7.497747676038301E-09</v>
      </c>
      <c r="R256" s="5">
        <v>7.1E-10</v>
      </c>
      <c r="S256" s="5">
        <v>3.89435637865</v>
      </c>
      <c r="T256" s="5">
        <v>22779.4372461938</v>
      </c>
      <c r="U256">
        <f t="shared" si="30"/>
        <v>5.458074347671381E-10</v>
      </c>
      <c r="BP256" s="5">
        <v>2.17E-09</v>
      </c>
      <c r="BQ256" s="5">
        <v>0.73691592312</v>
      </c>
      <c r="BR256" s="5">
        <v>6303.8512454838</v>
      </c>
      <c r="BS256">
        <f t="shared" si="31"/>
        <v>-2.1137867656344686E-09</v>
      </c>
      <c r="BU256" s="5">
        <v>2.6E-10</v>
      </c>
      <c r="BV256" s="5">
        <v>4.97688894643</v>
      </c>
      <c r="BW256" s="5">
        <v>16737.5772365966</v>
      </c>
      <c r="BX256">
        <f t="shared" si="32"/>
        <v>-2.2894184951648815E-10</v>
      </c>
    </row>
    <row r="257" spans="13:76" ht="12.75">
      <c r="M257" s="5">
        <v>5.84E-09</v>
      </c>
      <c r="N257" s="5">
        <v>2.13420121623</v>
      </c>
      <c r="O257" s="5">
        <v>10557.5941608238</v>
      </c>
      <c r="P257">
        <f t="shared" si="29"/>
        <v>2.2735016280729766E-09</v>
      </c>
      <c r="R257" s="5">
        <v>6.3E-10</v>
      </c>
      <c r="S257" s="5">
        <v>4.53968787714</v>
      </c>
      <c r="T257" s="5">
        <v>8982.810669309</v>
      </c>
      <c r="U257">
        <f t="shared" si="30"/>
        <v>3.51625035518107E-10</v>
      </c>
      <c r="BP257" s="5">
        <v>2.06E-09</v>
      </c>
      <c r="BQ257" s="5">
        <v>0.32075959415</v>
      </c>
      <c r="BR257" s="5">
        <v>25934.1243310894</v>
      </c>
      <c r="BS257">
        <f t="shared" si="31"/>
        <v>-9.153938306252033E-11</v>
      </c>
      <c r="BU257" s="5">
        <v>2.6E-10</v>
      </c>
      <c r="BV257" s="5">
        <v>2.36136541526</v>
      </c>
      <c r="BW257" s="5">
        <v>17996.0311682222</v>
      </c>
      <c r="BX257">
        <f t="shared" si="32"/>
        <v>-1.0473805180965402E-10</v>
      </c>
    </row>
    <row r="258" spans="13:76" ht="12.75">
      <c r="M258" s="5">
        <v>5.74E-09</v>
      </c>
      <c r="N258" s="5">
        <v>0.24250054587</v>
      </c>
      <c r="O258" s="5">
        <v>9779.1086761254</v>
      </c>
      <c r="P258">
        <f aca="true" t="shared" si="33" ref="P258:P321">M258*COS(N258+O258*$E$16)</f>
        <v>3.529589377156888E-09</v>
      </c>
      <c r="R258" s="5">
        <v>6.9E-10</v>
      </c>
      <c r="S258" s="5">
        <v>0.96028230548</v>
      </c>
      <c r="T258" s="5">
        <v>14919.0178537546</v>
      </c>
      <c r="U258">
        <f aca="true" t="shared" si="34" ref="U258:U321">R258*COS(S258+T258*$E$16)</f>
        <v>5.848468709015874E-10</v>
      </c>
      <c r="BP258" s="5">
        <v>2.18E-09</v>
      </c>
      <c r="BQ258" s="5">
        <v>0.18428135264</v>
      </c>
      <c r="BR258" s="5">
        <v>28286.9904848612</v>
      </c>
      <c r="BS258">
        <f aca="true" t="shared" si="35" ref="BS258:BS321">BP258*COS(BQ258+BR258*$E$16)</f>
        <v>8.347175953980186E-11</v>
      </c>
      <c r="BU258" s="5">
        <v>2.9E-10</v>
      </c>
      <c r="BV258" s="5">
        <v>4.15148654061</v>
      </c>
      <c r="BW258" s="5">
        <v>45892.7304331569</v>
      </c>
      <c r="BX258">
        <f aca="true" t="shared" si="36" ref="BX258:BX292">BU258*COS(BV258+BW258*$E$16)</f>
        <v>-1.7438388271710474E-10</v>
      </c>
    </row>
    <row r="259" spans="13:76" ht="12.75">
      <c r="M259" s="5">
        <v>5.73E-09</v>
      </c>
      <c r="N259" s="5">
        <v>3.16435264609</v>
      </c>
      <c r="O259" s="5">
        <v>533.2140834436</v>
      </c>
      <c r="P259">
        <f t="shared" si="33"/>
        <v>-3.689033150077084E-09</v>
      </c>
      <c r="R259" s="5">
        <v>7.6E-10</v>
      </c>
      <c r="S259" s="5">
        <v>3.29092216589</v>
      </c>
      <c r="T259" s="5">
        <v>2942.4634232916</v>
      </c>
      <c r="U259">
        <f t="shared" si="34"/>
        <v>1.769286240649888E-10</v>
      </c>
      <c r="BP259" s="5">
        <v>2.05E-09</v>
      </c>
      <c r="BQ259" s="5">
        <v>5.21312087405</v>
      </c>
      <c r="BR259" s="5">
        <v>20995.3929664494</v>
      </c>
      <c r="BS259">
        <f t="shared" si="35"/>
        <v>-2.0293110961328846E-09</v>
      </c>
      <c r="BU259" s="5">
        <v>2.6E-10</v>
      </c>
      <c r="BV259" s="5">
        <v>4.50714272714</v>
      </c>
      <c r="BW259" s="5">
        <v>17796.9591667858</v>
      </c>
      <c r="BX259">
        <f t="shared" si="36"/>
        <v>-2.086436765440221E-10</v>
      </c>
    </row>
    <row r="260" spans="13:76" ht="12.75">
      <c r="M260" s="5">
        <v>6.85E-09</v>
      </c>
      <c r="N260" s="5">
        <v>3.19344289472</v>
      </c>
      <c r="O260" s="5">
        <v>12146.6670561076</v>
      </c>
      <c r="P260">
        <f t="shared" si="33"/>
        <v>-4.526354197278726E-09</v>
      </c>
      <c r="R260" s="5">
        <v>6.3E-10</v>
      </c>
      <c r="S260" s="5">
        <v>4.09167842893</v>
      </c>
      <c r="T260" s="5">
        <v>16062.1845261168</v>
      </c>
      <c r="U260">
        <f t="shared" si="34"/>
        <v>3.4693017161919193E-10</v>
      </c>
      <c r="BP260" s="5">
        <v>1.99E-09</v>
      </c>
      <c r="BQ260" s="5">
        <v>0.44384292491</v>
      </c>
      <c r="BR260" s="5">
        <v>16737.5772365966</v>
      </c>
      <c r="BS260">
        <f t="shared" si="35"/>
        <v>-6.154775731646506E-10</v>
      </c>
      <c r="BU260" s="5">
        <v>2.7E-10</v>
      </c>
      <c r="BV260" s="5">
        <v>4.72625223674</v>
      </c>
      <c r="BW260" s="5">
        <v>1066.49547719</v>
      </c>
      <c r="BX260">
        <f t="shared" si="36"/>
        <v>2.673165283397035E-10</v>
      </c>
    </row>
    <row r="261" spans="13:76" ht="12.75">
      <c r="M261" s="5">
        <v>6.75E-09</v>
      </c>
      <c r="N261" s="5">
        <v>0.96179233959</v>
      </c>
      <c r="O261" s="5">
        <v>10454.5013866052</v>
      </c>
      <c r="P261">
        <f t="shared" si="33"/>
        <v>-5.643858449698568E-09</v>
      </c>
      <c r="R261" s="5">
        <v>6.5E-10</v>
      </c>
      <c r="S261" s="5">
        <v>3.34580407184</v>
      </c>
      <c r="T261" s="5">
        <v>51.28033786241</v>
      </c>
      <c r="U261">
        <f t="shared" si="34"/>
        <v>-4.090736431719875E-10</v>
      </c>
      <c r="BP261" s="5">
        <v>2.3E-09</v>
      </c>
      <c r="BQ261" s="5">
        <v>6.06567392849</v>
      </c>
      <c r="BR261" s="5">
        <v>6287.0080032545</v>
      </c>
      <c r="BS261">
        <f t="shared" si="35"/>
        <v>-1.3348852758587883E-09</v>
      </c>
      <c r="BU261" s="5">
        <v>2.5E-10</v>
      </c>
      <c r="BV261" s="5">
        <v>2.89309528854</v>
      </c>
      <c r="BW261" s="5">
        <v>6286.6662786432</v>
      </c>
      <c r="BX261">
        <f t="shared" si="36"/>
        <v>1.3776723689803418E-10</v>
      </c>
    </row>
    <row r="262" spans="13:76" ht="12.75">
      <c r="M262" s="5">
        <v>6.48E-09</v>
      </c>
      <c r="N262" s="5">
        <v>1.46327342555</v>
      </c>
      <c r="O262" s="5">
        <v>6268.8487559898</v>
      </c>
      <c r="P262">
        <f t="shared" si="33"/>
        <v>-5.728733401988725E-09</v>
      </c>
      <c r="R262" s="5">
        <v>6.5E-10</v>
      </c>
      <c r="S262" s="5">
        <v>5.75757544877</v>
      </c>
      <c r="T262" s="5">
        <v>52670.0695933026</v>
      </c>
      <c r="U262">
        <f t="shared" si="34"/>
        <v>6.341378253910115E-10</v>
      </c>
      <c r="BP262" s="5">
        <v>2.19E-09</v>
      </c>
      <c r="BQ262" s="5">
        <v>1.291942163</v>
      </c>
      <c r="BR262" s="5">
        <v>5326.7866940208</v>
      </c>
      <c r="BS262">
        <f t="shared" si="35"/>
        <v>-2.103958902425881E-09</v>
      </c>
      <c r="BU262" s="5">
        <v>2.7E-10</v>
      </c>
      <c r="BV262" s="5">
        <v>0.37462444357</v>
      </c>
      <c r="BW262" s="5">
        <v>12964.300703391</v>
      </c>
      <c r="BX262">
        <f t="shared" si="36"/>
        <v>-1.4928793732058687E-10</v>
      </c>
    </row>
    <row r="263" spans="13:76" ht="12.75">
      <c r="M263" s="5">
        <v>5.89E-09</v>
      </c>
      <c r="N263" s="5">
        <v>2.50543543638</v>
      </c>
      <c r="O263" s="5">
        <v>3097.88382272579</v>
      </c>
      <c r="P263">
        <f t="shared" si="33"/>
        <v>5.884662866424566E-09</v>
      </c>
      <c r="R263" s="5">
        <v>6.8E-10</v>
      </c>
      <c r="S263" s="5">
        <v>5.75884067555</v>
      </c>
      <c r="T263" s="5">
        <v>21424.4666443034</v>
      </c>
      <c r="U263">
        <f t="shared" si="34"/>
        <v>-6.730010273184853E-10</v>
      </c>
      <c r="BP263" s="5">
        <v>2.01E-09</v>
      </c>
      <c r="BQ263" s="5">
        <v>1.74700937253</v>
      </c>
      <c r="BR263" s="5">
        <v>22743.4093795164</v>
      </c>
      <c r="BS263">
        <f t="shared" si="35"/>
        <v>-7.165316916562346E-10</v>
      </c>
      <c r="BU263" s="5">
        <v>2.9E-10</v>
      </c>
      <c r="BV263" s="5">
        <v>4.94860010533</v>
      </c>
      <c r="BW263" s="5">
        <v>5863.5912061162</v>
      </c>
      <c r="BX263">
        <f t="shared" si="36"/>
        <v>-3.5321246645985435E-11</v>
      </c>
    </row>
    <row r="264" spans="13:76" ht="12.75">
      <c r="M264" s="5">
        <v>5.51E-09</v>
      </c>
      <c r="N264" s="5">
        <v>5.28099026956</v>
      </c>
      <c r="O264" s="5">
        <v>9388.0059094152</v>
      </c>
      <c r="P264">
        <f t="shared" si="33"/>
        <v>2.494184103900666E-09</v>
      </c>
      <c r="R264" s="5">
        <v>5.7E-10</v>
      </c>
      <c r="S264" s="5">
        <v>5.4512239985</v>
      </c>
      <c r="T264" s="5">
        <v>12592.4500197826</v>
      </c>
      <c r="U264">
        <f t="shared" si="34"/>
        <v>-2.646170652261715E-10</v>
      </c>
      <c r="BP264" s="5">
        <v>2.07E-09</v>
      </c>
      <c r="BQ264" s="5">
        <v>4.45440927276</v>
      </c>
      <c r="BR264" s="5">
        <v>6279.4854213396</v>
      </c>
      <c r="BS264">
        <f t="shared" si="35"/>
        <v>1.837875036586361E-09</v>
      </c>
      <c r="BU264" s="5">
        <v>3.1E-10</v>
      </c>
      <c r="BV264" s="5">
        <v>3.93096113577</v>
      </c>
      <c r="BW264" s="5">
        <v>29864.334027309</v>
      </c>
      <c r="BX264">
        <f t="shared" si="36"/>
        <v>9.967407548227826E-11</v>
      </c>
    </row>
    <row r="265" spans="13:76" ht="12.75">
      <c r="M265" s="5">
        <v>6.96E-09</v>
      </c>
      <c r="N265" s="5">
        <v>3.65342150016</v>
      </c>
      <c r="O265" s="5">
        <v>4804.209275927</v>
      </c>
      <c r="P265">
        <f t="shared" si="33"/>
        <v>2.4884013433335325E-09</v>
      </c>
      <c r="R265" s="5">
        <v>5.7E-10</v>
      </c>
      <c r="S265" s="5">
        <v>5.25043362558</v>
      </c>
      <c r="T265" s="5">
        <v>20995.3929664494</v>
      </c>
      <c r="U265">
        <f t="shared" si="34"/>
        <v>-5.608414556318209E-10</v>
      </c>
      <c r="BP265" s="5">
        <v>2.69E-09</v>
      </c>
      <c r="BQ265" s="5">
        <v>6.0564044503</v>
      </c>
      <c r="BR265" s="5">
        <v>64471.9912417448</v>
      </c>
      <c r="BS265">
        <f t="shared" si="35"/>
        <v>7.412631745290836E-10</v>
      </c>
      <c r="BU265" s="5">
        <v>2.4E-10</v>
      </c>
      <c r="BV265" s="5">
        <v>6.14987193584</v>
      </c>
      <c r="BW265" s="5">
        <v>18606.4989460002</v>
      </c>
      <c r="BX265">
        <f t="shared" si="36"/>
        <v>-2.054367260722671E-10</v>
      </c>
    </row>
    <row r="266" spans="13:76" ht="12.75">
      <c r="M266" s="5">
        <v>6.69E-09</v>
      </c>
      <c r="N266" s="5">
        <v>2.51030077026</v>
      </c>
      <c r="O266" s="5">
        <v>2388.8940204492</v>
      </c>
      <c r="P266">
        <f t="shared" si="33"/>
        <v>-6.659394456723264E-09</v>
      </c>
      <c r="R266" s="5">
        <v>7.3E-10</v>
      </c>
      <c r="S266" s="5">
        <v>0.53299090807</v>
      </c>
      <c r="T266" s="5">
        <v>2301.58581590939</v>
      </c>
      <c r="U266">
        <f t="shared" si="34"/>
        <v>7.264141990234625E-10</v>
      </c>
      <c r="BP266" s="5">
        <v>1.9E-09</v>
      </c>
      <c r="BQ266" s="5">
        <v>0.99256176518</v>
      </c>
      <c r="BR266" s="5">
        <v>29296.6153895786</v>
      </c>
      <c r="BS266">
        <f t="shared" si="35"/>
        <v>-1.882306845949943E-09</v>
      </c>
      <c r="BU266" s="5">
        <v>2.4E-10</v>
      </c>
      <c r="BV266" s="5">
        <v>3.74225964547</v>
      </c>
      <c r="BW266" s="5">
        <v>29026.4852295077</v>
      </c>
      <c r="BX266">
        <f t="shared" si="36"/>
        <v>-1.7936525850751626E-10</v>
      </c>
    </row>
    <row r="267" spans="13:76" ht="12.75">
      <c r="M267" s="5">
        <v>5.5E-09</v>
      </c>
      <c r="N267" s="5">
        <v>0.06883864342</v>
      </c>
      <c r="O267" s="5">
        <v>20199.094959633</v>
      </c>
      <c r="P267">
        <f t="shared" si="33"/>
        <v>5.491573277817483E-09</v>
      </c>
      <c r="R267" s="5">
        <v>7E-10</v>
      </c>
      <c r="S267" s="5">
        <v>4.31243357502</v>
      </c>
      <c r="T267" s="5">
        <v>19402.7969528166</v>
      </c>
      <c r="U267">
        <f t="shared" si="34"/>
        <v>6.983647543019452E-10</v>
      </c>
      <c r="BP267" s="5">
        <v>2.38E-09</v>
      </c>
      <c r="BQ267" s="5">
        <v>5.42471431221</v>
      </c>
      <c r="BR267" s="5">
        <v>39609.6545831656</v>
      </c>
      <c r="BS267">
        <f t="shared" si="35"/>
        <v>1.0062615854991637E-09</v>
      </c>
      <c r="BU267" s="5">
        <v>2.5E-10</v>
      </c>
      <c r="BV267" s="5">
        <v>5.70460621565</v>
      </c>
      <c r="BW267" s="5">
        <v>27707.5424942948</v>
      </c>
      <c r="BX267">
        <f t="shared" si="36"/>
        <v>1.9164277303288543E-10</v>
      </c>
    </row>
    <row r="268" spans="13:76" ht="12.75">
      <c r="M268" s="5">
        <v>6.29E-09</v>
      </c>
      <c r="N268" s="5">
        <v>4.13350995675</v>
      </c>
      <c r="O268" s="5">
        <v>45892.7304331569</v>
      </c>
      <c r="P268">
        <f t="shared" si="33"/>
        <v>-3.6913743047943533E-09</v>
      </c>
      <c r="R268" s="5">
        <v>6.7E-10</v>
      </c>
      <c r="S268" s="5">
        <v>2.53852336668</v>
      </c>
      <c r="T268" s="5">
        <v>377.3736079158</v>
      </c>
      <c r="U268">
        <f t="shared" si="34"/>
        <v>1.7746677438503543E-10</v>
      </c>
      <c r="BP268" s="5">
        <v>2.62E-09</v>
      </c>
      <c r="BQ268" s="5">
        <v>5.26961924198</v>
      </c>
      <c r="BR268" s="5">
        <v>522.5774180938</v>
      </c>
      <c r="BS268">
        <f t="shared" si="35"/>
        <v>2.4972922002538825E-09</v>
      </c>
      <c r="BU268" s="5">
        <v>2.5E-10</v>
      </c>
      <c r="BV268" s="5">
        <v>5.33928840652</v>
      </c>
      <c r="BW268" s="5">
        <v>15141.390794312</v>
      </c>
      <c r="BX268">
        <f t="shared" si="36"/>
        <v>2.1809784305822142E-10</v>
      </c>
    </row>
    <row r="269" spans="13:76" ht="12.75">
      <c r="M269" s="5">
        <v>6.78E-09</v>
      </c>
      <c r="N269" s="5">
        <v>6.09190163533</v>
      </c>
      <c r="O269" s="5">
        <v>135.62532501</v>
      </c>
      <c r="P269">
        <f t="shared" si="33"/>
        <v>-3.5181027010347234E-10</v>
      </c>
      <c r="R269" s="5">
        <v>5.6E-10</v>
      </c>
      <c r="S269" s="5">
        <v>3.20816844695</v>
      </c>
      <c r="T269" s="5">
        <v>24889.5747959916</v>
      </c>
      <c r="U269">
        <f t="shared" si="34"/>
        <v>-5.594715543661865E-10</v>
      </c>
      <c r="BP269" s="5">
        <v>2.1E-09</v>
      </c>
      <c r="BQ269" s="5">
        <v>4.68618183158</v>
      </c>
      <c r="BR269" s="5">
        <v>6254.6266625236</v>
      </c>
      <c r="BS269">
        <f t="shared" si="35"/>
        <v>1.9522111893380007E-09</v>
      </c>
      <c r="BU269" s="5">
        <v>2.7E-10</v>
      </c>
      <c r="BV269" s="5">
        <v>3.0232089714</v>
      </c>
      <c r="BW269" s="5">
        <v>6286.3622074092</v>
      </c>
      <c r="BX269">
        <f t="shared" si="36"/>
        <v>1.7593192639717948E-10</v>
      </c>
    </row>
    <row r="270" spans="13:76" ht="12.75">
      <c r="M270" s="5">
        <v>5.93E-09</v>
      </c>
      <c r="N270" s="5">
        <v>1.50136257618</v>
      </c>
      <c r="O270" s="5">
        <v>226858.23855437</v>
      </c>
      <c r="P270">
        <f t="shared" si="33"/>
        <v>3.4082147664465075E-09</v>
      </c>
      <c r="R270" s="5">
        <v>5.3E-10</v>
      </c>
      <c r="S270" s="5">
        <v>3.17816599142</v>
      </c>
      <c r="T270" s="5">
        <v>18451.0785465659</v>
      </c>
      <c r="U270">
        <f t="shared" si="34"/>
        <v>1.0803133319289153E-10</v>
      </c>
      <c r="BP270" s="5">
        <v>1.97E-09</v>
      </c>
      <c r="BQ270" s="5">
        <v>2.8062455408</v>
      </c>
      <c r="BR270" s="5">
        <v>4933.2084403326</v>
      </c>
      <c r="BS270">
        <f t="shared" si="35"/>
        <v>1.8656202059295967E-09</v>
      </c>
      <c r="BU270" s="5">
        <v>2.3E-10</v>
      </c>
      <c r="BV270" s="5">
        <v>0.28364955406</v>
      </c>
      <c r="BW270" s="5">
        <v>5327.4761083828</v>
      </c>
      <c r="BX270">
        <f t="shared" si="36"/>
        <v>-1.7324386042763616E-10</v>
      </c>
    </row>
    <row r="271" spans="13:76" ht="12.75">
      <c r="M271" s="5">
        <v>5.42E-09</v>
      </c>
      <c r="N271" s="5">
        <v>3.58573645173</v>
      </c>
      <c r="O271" s="5">
        <v>6148.010769956</v>
      </c>
      <c r="P271">
        <f t="shared" si="33"/>
        <v>-2.96228627339826E-09</v>
      </c>
      <c r="R271" s="5">
        <v>5.3E-10</v>
      </c>
      <c r="S271" s="5">
        <v>3.61529270216</v>
      </c>
      <c r="T271" s="5">
        <v>77.673770428</v>
      </c>
      <c r="U271">
        <f t="shared" si="34"/>
        <v>-3.083245252936297E-11</v>
      </c>
      <c r="BP271" s="5">
        <v>2.52E-09</v>
      </c>
      <c r="BQ271" s="5">
        <v>4.36220154608</v>
      </c>
      <c r="BR271" s="5">
        <v>40879.4405046438</v>
      </c>
      <c r="BS271">
        <f t="shared" si="35"/>
        <v>-5.587478955385423E-10</v>
      </c>
      <c r="BU271" s="5">
        <v>2.6E-10</v>
      </c>
      <c r="BV271" s="5">
        <v>1.34240461687</v>
      </c>
      <c r="BW271" s="5">
        <v>18875.525869774</v>
      </c>
      <c r="BX271">
        <f t="shared" si="36"/>
        <v>-2.0445651970856433E-10</v>
      </c>
    </row>
    <row r="272" spans="13:76" ht="12.75">
      <c r="M272" s="5">
        <v>6.82E-09</v>
      </c>
      <c r="N272" s="5">
        <v>5.02203067788</v>
      </c>
      <c r="O272" s="5">
        <v>17253.0411076895</v>
      </c>
      <c r="P272">
        <f t="shared" si="33"/>
        <v>-6.730134248911229E-09</v>
      </c>
      <c r="R272" s="5">
        <v>5.3E-10</v>
      </c>
      <c r="S272" s="5">
        <v>0.45467549335</v>
      </c>
      <c r="T272" s="5">
        <v>30666.1549584328</v>
      </c>
      <c r="U272">
        <f t="shared" si="34"/>
        <v>-3.1547692091793237E-10</v>
      </c>
      <c r="BP272" s="5">
        <v>2.61E-09</v>
      </c>
      <c r="BQ272" s="5">
        <v>1.07241516738</v>
      </c>
      <c r="BR272" s="5">
        <v>55022.9357470744</v>
      </c>
      <c r="BS272">
        <f t="shared" si="35"/>
        <v>-7.771169952404111E-10</v>
      </c>
      <c r="BU272" s="5">
        <v>2.4E-10</v>
      </c>
      <c r="BV272" s="5">
        <v>1.33998410121</v>
      </c>
      <c r="BW272" s="5">
        <v>19800.9459562248</v>
      </c>
      <c r="BX272">
        <f t="shared" si="36"/>
        <v>-1.571020430806249E-10</v>
      </c>
    </row>
    <row r="273" spans="13:76" ht="12.75">
      <c r="M273" s="5">
        <v>5.65E-09</v>
      </c>
      <c r="N273" s="5">
        <v>4.2930923861</v>
      </c>
      <c r="O273" s="5">
        <v>11933.3679606696</v>
      </c>
      <c r="P273">
        <f t="shared" si="33"/>
        <v>4.847727117989459E-09</v>
      </c>
      <c r="R273" s="5">
        <v>6.1E-10</v>
      </c>
      <c r="S273" s="5">
        <v>0.14807288453</v>
      </c>
      <c r="T273" s="5">
        <v>23013.5395395872</v>
      </c>
      <c r="U273">
        <f t="shared" si="34"/>
        <v>6.081087935018248E-10</v>
      </c>
      <c r="BP273" s="5">
        <v>1.89E-09</v>
      </c>
      <c r="BQ273" s="5">
        <v>3.82966734476</v>
      </c>
      <c r="BR273" s="5">
        <v>419.4846438752</v>
      </c>
      <c r="BS273">
        <f t="shared" si="35"/>
        <v>-1.8897727074785153E-09</v>
      </c>
      <c r="BU273" s="5">
        <v>2.5E-10</v>
      </c>
      <c r="BV273" s="5">
        <v>6.00172494004</v>
      </c>
      <c r="BW273" s="5">
        <v>6489.2613984286</v>
      </c>
      <c r="BX273">
        <f t="shared" si="36"/>
        <v>2.963137063418269E-11</v>
      </c>
    </row>
    <row r="274" spans="13:76" ht="12.75">
      <c r="M274" s="5">
        <v>4.86E-09</v>
      </c>
      <c r="N274" s="5">
        <v>0.77746204893</v>
      </c>
      <c r="O274" s="5">
        <v>27.4015560968</v>
      </c>
      <c r="P274">
        <f t="shared" si="33"/>
        <v>2.0120120999707147E-09</v>
      </c>
      <c r="R274" s="5">
        <v>5.1E-10</v>
      </c>
      <c r="S274" s="5">
        <v>3.32803972907</v>
      </c>
      <c r="T274" s="5">
        <v>56.8983749356</v>
      </c>
      <c r="U274">
        <f t="shared" si="34"/>
        <v>-2.977092431191691E-10</v>
      </c>
      <c r="BP274" s="5">
        <v>1.85E-09</v>
      </c>
      <c r="BQ274" s="5">
        <v>4.14324541379</v>
      </c>
      <c r="BR274" s="5">
        <v>5642.1982426092</v>
      </c>
      <c r="BS274">
        <f t="shared" si="35"/>
        <v>-8.914778670052197E-10</v>
      </c>
      <c r="BU274" s="5">
        <v>2.2E-10</v>
      </c>
      <c r="BV274" s="5">
        <v>1.81777974484</v>
      </c>
      <c r="BW274" s="5">
        <v>6288.5987742988</v>
      </c>
      <c r="BX274">
        <f t="shared" si="36"/>
        <v>-9.881494690842897E-11</v>
      </c>
    </row>
    <row r="275" spans="13:76" ht="12.75">
      <c r="M275" s="5">
        <v>5.03E-09</v>
      </c>
      <c r="N275" s="5">
        <v>0.58963565969</v>
      </c>
      <c r="O275" s="5">
        <v>15671.0817594066</v>
      </c>
      <c r="P275">
        <f t="shared" si="33"/>
        <v>-4.811411065830286E-09</v>
      </c>
      <c r="R275" s="5">
        <v>5.2E-10</v>
      </c>
      <c r="S275" s="5">
        <v>3.41177624177</v>
      </c>
      <c r="T275" s="5">
        <v>23141.5583829246</v>
      </c>
      <c r="U275">
        <f t="shared" si="34"/>
        <v>1.7455747200364756E-10</v>
      </c>
      <c r="BP275" s="5">
        <v>2.47E-09</v>
      </c>
      <c r="BQ275" s="5">
        <v>3.44855612987</v>
      </c>
      <c r="BR275" s="5">
        <v>6702.5604938666</v>
      </c>
      <c r="BS275">
        <f t="shared" si="35"/>
        <v>1.0038240577051229E-09</v>
      </c>
      <c r="BU275" s="5">
        <v>2.2E-10</v>
      </c>
      <c r="BV275" s="5">
        <v>3.5860360664</v>
      </c>
      <c r="BW275" s="5">
        <v>6915.8595893046</v>
      </c>
      <c r="BX275">
        <f t="shared" si="36"/>
        <v>-5.8105391595654396E-11</v>
      </c>
    </row>
    <row r="276" spans="13:76" ht="12.75">
      <c r="M276" s="5">
        <v>6.16E-09</v>
      </c>
      <c r="N276" s="5">
        <v>4.06539884128</v>
      </c>
      <c r="O276" s="5">
        <v>227.476132789</v>
      </c>
      <c r="P276">
        <f t="shared" si="33"/>
        <v>4.181206928015747E-09</v>
      </c>
      <c r="R276" s="5">
        <v>5.8E-10</v>
      </c>
      <c r="S276" s="5">
        <v>3.13638677202</v>
      </c>
      <c r="T276" s="5">
        <v>309.2783226558</v>
      </c>
      <c r="U276">
        <f t="shared" si="34"/>
        <v>3.183331275924822E-10</v>
      </c>
      <c r="BP276" s="5">
        <v>2.05E-09</v>
      </c>
      <c r="BQ276" s="5">
        <v>4.04424043223</v>
      </c>
      <c r="BR276" s="5">
        <v>536.8045120954</v>
      </c>
      <c r="BS276">
        <f t="shared" si="35"/>
        <v>4.642442998916591E-10</v>
      </c>
      <c r="BU276" s="5">
        <v>2.9E-10</v>
      </c>
      <c r="BV276" s="5">
        <v>2.09564449439</v>
      </c>
      <c r="BW276" s="5">
        <v>15265.8865193004</v>
      </c>
      <c r="BX276">
        <f t="shared" si="36"/>
        <v>1.3979864586314938E-10</v>
      </c>
    </row>
    <row r="277" spans="13:76" ht="12.75">
      <c r="M277" s="5">
        <v>5.83E-09</v>
      </c>
      <c r="N277" s="5">
        <v>6.12695541996</v>
      </c>
      <c r="O277" s="5">
        <v>18875.525869774</v>
      </c>
      <c r="P277">
        <f t="shared" si="33"/>
        <v>3.261592093116898E-09</v>
      </c>
      <c r="R277" s="5">
        <v>7E-10</v>
      </c>
      <c r="S277" s="5">
        <v>2.50592323465</v>
      </c>
      <c r="T277" s="5">
        <v>31415.379249957</v>
      </c>
      <c r="U277">
        <f t="shared" si="34"/>
        <v>-9.999324441607005E-11</v>
      </c>
      <c r="BP277" s="5">
        <v>1.91E-09</v>
      </c>
      <c r="BQ277" s="5">
        <v>3.14082686083</v>
      </c>
      <c r="BR277" s="5">
        <v>16723.350142595</v>
      </c>
      <c r="BS277">
        <f t="shared" si="35"/>
        <v>1.5528875822387856E-09</v>
      </c>
      <c r="BU277" s="5">
        <v>2.2E-10</v>
      </c>
      <c r="BV277" s="5">
        <v>1.02173599251</v>
      </c>
      <c r="BW277" s="5">
        <v>11925.2740926006</v>
      </c>
      <c r="BX277">
        <f t="shared" si="36"/>
        <v>-2.1008252028722406E-10</v>
      </c>
    </row>
    <row r="278" spans="13:76" ht="12.75">
      <c r="M278" s="5">
        <v>5.37E-09</v>
      </c>
      <c r="N278" s="5">
        <v>2.1505644098</v>
      </c>
      <c r="O278" s="5">
        <v>21954.1576093979</v>
      </c>
      <c r="P278">
        <f t="shared" si="33"/>
        <v>4.767217608384176E-09</v>
      </c>
      <c r="R278" s="5">
        <v>5.2E-10</v>
      </c>
      <c r="S278" s="5">
        <v>5.10673376738</v>
      </c>
      <c r="T278" s="5">
        <v>17796.9591667858</v>
      </c>
      <c r="U278">
        <f t="shared" si="34"/>
        <v>-1.694081148941679E-10</v>
      </c>
      <c r="BP278" s="5">
        <v>2.22E-09</v>
      </c>
      <c r="BQ278" s="5">
        <v>5.16263907319</v>
      </c>
      <c r="BR278" s="5">
        <v>23539.7073863328</v>
      </c>
      <c r="BS278">
        <f t="shared" si="35"/>
        <v>2.0127561486901434E-09</v>
      </c>
      <c r="BU278" s="5">
        <v>2.2E-10</v>
      </c>
      <c r="BV278" s="5">
        <v>4.74660932338</v>
      </c>
      <c r="BW278" s="5">
        <v>28230.1872226913</v>
      </c>
      <c r="BX278">
        <f t="shared" si="36"/>
        <v>1.2830907662449027E-10</v>
      </c>
    </row>
    <row r="279" spans="13:76" ht="12.75">
      <c r="M279" s="5">
        <v>6.69E-09</v>
      </c>
      <c r="N279" s="5">
        <v>6.06986269566</v>
      </c>
      <c r="O279" s="5">
        <v>47162.5163546352</v>
      </c>
      <c r="P279">
        <f t="shared" si="33"/>
        <v>-4.2965047159182245E-09</v>
      </c>
      <c r="R279" s="5">
        <v>6.7E-10</v>
      </c>
      <c r="S279" s="5">
        <v>6.27917920454</v>
      </c>
      <c r="T279" s="5">
        <v>22345.2603761082</v>
      </c>
      <c r="U279">
        <f t="shared" si="34"/>
        <v>-6.136104612701905E-10</v>
      </c>
      <c r="BP279" s="5">
        <v>1.8E-09</v>
      </c>
      <c r="BQ279" s="5">
        <v>4.56214752149</v>
      </c>
      <c r="BR279" s="5">
        <v>6489.2613984286</v>
      </c>
      <c r="BS279">
        <f t="shared" si="35"/>
        <v>-1.7440318162053394E-09</v>
      </c>
      <c r="BU279" s="5">
        <v>2.1E-10</v>
      </c>
      <c r="BV279" s="5">
        <v>2.30688751432</v>
      </c>
      <c r="BW279" s="5">
        <v>5999.2165311262</v>
      </c>
      <c r="BX279">
        <f t="shared" si="36"/>
        <v>1.361861266456794E-10</v>
      </c>
    </row>
    <row r="280" spans="13:76" ht="12.75">
      <c r="M280" s="5">
        <v>4.75E-09</v>
      </c>
      <c r="N280" s="5">
        <v>0.4034384211</v>
      </c>
      <c r="O280" s="5">
        <v>6915.8595893046</v>
      </c>
      <c r="P280">
        <f t="shared" si="33"/>
        <v>1.0656888037898515E-09</v>
      </c>
      <c r="R280" s="5">
        <v>5E-10</v>
      </c>
      <c r="S280" s="5">
        <v>0.42577644151</v>
      </c>
      <c r="T280" s="5">
        <v>25685.872802808</v>
      </c>
      <c r="U280">
        <f t="shared" si="34"/>
        <v>-1.4653301761939403E-11</v>
      </c>
      <c r="BP280" s="5">
        <v>2.19E-09</v>
      </c>
      <c r="BQ280" s="5">
        <v>0.80382553358</v>
      </c>
      <c r="BR280" s="5">
        <v>16627.3709153772</v>
      </c>
      <c r="BS280">
        <f t="shared" si="35"/>
        <v>-2.1678567051193557E-09</v>
      </c>
      <c r="BU280" s="5">
        <v>2.1E-10</v>
      </c>
      <c r="BV280" s="5">
        <v>3.2265494443</v>
      </c>
      <c r="BW280" s="5">
        <v>25934.1243310894</v>
      </c>
      <c r="BX280">
        <f t="shared" si="36"/>
        <v>-3.993905412809072E-11</v>
      </c>
    </row>
    <row r="281" spans="13:76" ht="12.75">
      <c r="M281" s="5">
        <v>5.4E-09</v>
      </c>
      <c r="N281" s="5">
        <v>2.83444222174</v>
      </c>
      <c r="O281" s="5">
        <v>5326.7866940208</v>
      </c>
      <c r="P281">
        <f t="shared" si="33"/>
        <v>1.3513811456460801E-09</v>
      </c>
      <c r="R281" s="5">
        <v>4.8E-10</v>
      </c>
      <c r="S281" s="5">
        <v>0.70204553333</v>
      </c>
      <c r="T281" s="5">
        <v>1162.4747044078</v>
      </c>
      <c r="U281">
        <f t="shared" si="34"/>
        <v>-4.111523265898244E-10</v>
      </c>
      <c r="BP281" s="5">
        <v>2.27E-09</v>
      </c>
      <c r="BQ281" s="5">
        <v>0.60156339452</v>
      </c>
      <c r="BR281" s="5">
        <v>5905.7022420756</v>
      </c>
      <c r="BS281">
        <f t="shared" si="35"/>
        <v>-1.128128965695761E-09</v>
      </c>
      <c r="BU281" s="5">
        <v>2.1E-10</v>
      </c>
      <c r="BV281" s="5">
        <v>3.04956726238</v>
      </c>
      <c r="BW281" s="5">
        <v>6566.9351688566</v>
      </c>
      <c r="BX281">
        <f t="shared" si="36"/>
        <v>-2.0476900637858368E-10</v>
      </c>
    </row>
    <row r="282" spans="13:76" ht="12.75">
      <c r="M282" s="5">
        <v>5.3E-09</v>
      </c>
      <c r="N282" s="5">
        <v>5.26359885263</v>
      </c>
      <c r="O282" s="5">
        <v>10988.808157535</v>
      </c>
      <c r="P282">
        <f t="shared" si="33"/>
        <v>6.766056771512908E-10</v>
      </c>
      <c r="R282" s="5">
        <v>6.6E-10</v>
      </c>
      <c r="S282" s="5">
        <v>3.64350022359</v>
      </c>
      <c r="T282" s="5">
        <v>15265.8865193004</v>
      </c>
      <c r="U282">
        <f t="shared" si="34"/>
        <v>5.853957009028017E-10</v>
      </c>
      <c r="BP282" s="5">
        <v>1.68E-09</v>
      </c>
      <c r="BQ282" s="5">
        <v>0.88753528161</v>
      </c>
      <c r="BR282" s="5">
        <v>16062.1845261168</v>
      </c>
      <c r="BS282">
        <f t="shared" si="35"/>
        <v>-8.356792133878512E-10</v>
      </c>
      <c r="BU282" s="5">
        <v>2.7E-10</v>
      </c>
      <c r="BV282" s="5">
        <v>5.35653084499</v>
      </c>
      <c r="BW282" s="5">
        <v>33794.5437235286</v>
      </c>
      <c r="BX282">
        <f t="shared" si="36"/>
        <v>6.884314076373268E-11</v>
      </c>
    </row>
    <row r="283" spans="13:76" ht="12.75">
      <c r="M283" s="5">
        <v>5.82E-09</v>
      </c>
      <c r="N283" s="5">
        <v>3.24533095664</v>
      </c>
      <c r="O283" s="5">
        <v>153.7788104848</v>
      </c>
      <c r="P283">
        <f t="shared" si="33"/>
        <v>3.236754542409087E-09</v>
      </c>
      <c r="R283" s="5">
        <v>5E-10</v>
      </c>
      <c r="S283" s="5">
        <v>5.7438291744</v>
      </c>
      <c r="T283" s="5">
        <v>19.66976089979</v>
      </c>
      <c r="U283">
        <f t="shared" si="34"/>
        <v>4.81039437646284E-10</v>
      </c>
      <c r="BP283" s="5">
        <v>1.58E-09</v>
      </c>
      <c r="BQ283" s="5">
        <v>0.92127725775</v>
      </c>
      <c r="BR283" s="5">
        <v>23937.856389741</v>
      </c>
      <c r="BS283">
        <f t="shared" si="35"/>
        <v>1.259375337877785E-09</v>
      </c>
      <c r="BU283" s="5">
        <v>2.8E-10</v>
      </c>
      <c r="BV283" s="5">
        <v>3.91168324815</v>
      </c>
      <c r="BW283" s="5">
        <v>18208.349942592</v>
      </c>
      <c r="BX283">
        <f t="shared" si="36"/>
        <v>-2.0735220205507276E-10</v>
      </c>
    </row>
    <row r="284" spans="13:76" ht="12.75">
      <c r="M284" s="5">
        <v>6.41E-09</v>
      </c>
      <c r="N284" s="5">
        <v>3.24711791371</v>
      </c>
      <c r="O284" s="5">
        <v>2107.0345075424</v>
      </c>
      <c r="P284">
        <f t="shared" si="33"/>
        <v>6.409471594417814E-09</v>
      </c>
      <c r="R284" s="5">
        <v>5E-10</v>
      </c>
      <c r="S284" s="5">
        <v>4.69825387775</v>
      </c>
      <c r="T284" s="5">
        <v>28237.2334593894</v>
      </c>
      <c r="U284">
        <f t="shared" si="34"/>
        <v>3.099357843912449E-10</v>
      </c>
      <c r="BP284" s="5">
        <v>1.57E-09</v>
      </c>
      <c r="BQ284" s="5">
        <v>4.69607868164</v>
      </c>
      <c r="BR284" s="5">
        <v>6805.6532680852</v>
      </c>
      <c r="BS284">
        <f t="shared" si="35"/>
        <v>1.515567723103256E-10</v>
      </c>
      <c r="BU284" s="5">
        <v>2E-10</v>
      </c>
      <c r="BV284" s="5">
        <v>1.52296293311</v>
      </c>
      <c r="BW284" s="5">
        <v>135.0650800354</v>
      </c>
      <c r="BX284">
        <f t="shared" si="36"/>
        <v>-1.964808658164687E-10</v>
      </c>
    </row>
    <row r="285" spans="13:76" ht="12.75">
      <c r="M285" s="5">
        <v>6.21E-09</v>
      </c>
      <c r="N285" s="5">
        <v>3.09698523779</v>
      </c>
      <c r="O285" s="5">
        <v>33019.0211122046</v>
      </c>
      <c r="P285">
        <f t="shared" si="33"/>
        <v>1.1850601605413843E-09</v>
      </c>
      <c r="R285" s="5">
        <v>4.7E-10</v>
      </c>
      <c r="S285" s="5">
        <v>5.74015846442</v>
      </c>
      <c r="T285" s="5">
        <v>12139.5535091068</v>
      </c>
      <c r="U285">
        <f t="shared" si="34"/>
        <v>1.4961649381175985E-11</v>
      </c>
      <c r="BP285" s="5">
        <v>2.07E-09</v>
      </c>
      <c r="BQ285" s="5">
        <v>4.88410451334</v>
      </c>
      <c r="BR285" s="5">
        <v>6286.6662786432</v>
      </c>
      <c r="BS285">
        <f t="shared" si="35"/>
        <v>1.1116981262774812E-09</v>
      </c>
      <c r="BU285" s="5">
        <v>2.2E-10</v>
      </c>
      <c r="BV285" s="5">
        <v>4.66462839521</v>
      </c>
      <c r="BW285" s="5">
        <v>13362.4497067992</v>
      </c>
      <c r="BX285">
        <f t="shared" si="36"/>
        <v>8.47353343102785E-11</v>
      </c>
    </row>
    <row r="286" spans="13:76" ht="12.75">
      <c r="M286" s="5">
        <v>4.66E-09</v>
      </c>
      <c r="N286" s="5">
        <v>3.14982372198</v>
      </c>
      <c r="O286" s="5">
        <v>10440.2742926036</v>
      </c>
      <c r="P286">
        <f t="shared" si="33"/>
        <v>-7.132623112629577E-10</v>
      </c>
      <c r="R286" s="5">
        <v>5.4E-10</v>
      </c>
      <c r="S286" s="5">
        <v>1.97301333704</v>
      </c>
      <c r="T286" s="5">
        <v>23581.2581773176</v>
      </c>
      <c r="U286">
        <f t="shared" si="34"/>
        <v>-5.385938924518323E-10</v>
      </c>
      <c r="BP286" s="5">
        <v>1.6E-09</v>
      </c>
      <c r="BQ286" s="5">
        <v>4.95943826846</v>
      </c>
      <c r="BR286" s="5">
        <v>10021.8372800994</v>
      </c>
      <c r="BS286">
        <f t="shared" si="35"/>
        <v>1.1467267773923323E-09</v>
      </c>
      <c r="BU286" s="5">
        <v>1.9E-10</v>
      </c>
      <c r="BV286" s="5">
        <v>1.78121167862</v>
      </c>
      <c r="BW286" s="5">
        <v>156137.475984799</v>
      </c>
      <c r="BX286">
        <f t="shared" si="36"/>
        <v>-1.0811802407559933E-10</v>
      </c>
    </row>
    <row r="287" spans="13:76" ht="12.75">
      <c r="M287" s="5">
        <v>4.66E-09</v>
      </c>
      <c r="N287" s="5">
        <v>0.90708835657</v>
      </c>
      <c r="O287" s="5">
        <v>5966.6839803348</v>
      </c>
      <c r="P287">
        <f t="shared" si="33"/>
        <v>2.635272284005135E-09</v>
      </c>
      <c r="R287" s="5">
        <v>4.9E-10</v>
      </c>
      <c r="S287" s="5">
        <v>4.98223579027</v>
      </c>
      <c r="T287" s="5">
        <v>10021.8372800994</v>
      </c>
      <c r="U287">
        <f t="shared" si="34"/>
        <v>3.433042422505226E-10</v>
      </c>
      <c r="BP287" s="5">
        <v>1.66E-09</v>
      </c>
      <c r="BQ287" s="5">
        <v>0.97126433565</v>
      </c>
      <c r="BR287" s="5">
        <v>3097.88382272579</v>
      </c>
      <c r="BS287">
        <f t="shared" si="35"/>
        <v>-9.874862604112834E-12</v>
      </c>
      <c r="BU287" s="5">
        <v>1.9E-10</v>
      </c>
      <c r="BV287" s="5">
        <v>2.99969102221</v>
      </c>
      <c r="BW287" s="5">
        <v>19651.048481098</v>
      </c>
      <c r="BX287">
        <f t="shared" si="36"/>
        <v>-6.84351779651909E-11</v>
      </c>
    </row>
    <row r="288" spans="13:76" ht="12.75">
      <c r="M288" s="5">
        <v>5.28E-09</v>
      </c>
      <c r="N288" s="5">
        <v>0.8192645447</v>
      </c>
      <c r="O288" s="5">
        <v>813.5502839598</v>
      </c>
      <c r="P288">
        <f t="shared" si="33"/>
        <v>3.421414990953173E-09</v>
      </c>
      <c r="R288" s="5">
        <v>4.6E-10</v>
      </c>
      <c r="S288" s="5">
        <v>5.41431705539</v>
      </c>
      <c r="T288" s="5">
        <v>33019.0211122046</v>
      </c>
      <c r="U288">
        <f t="shared" si="34"/>
        <v>2.7184304873369014E-10</v>
      </c>
      <c r="BP288" s="5">
        <v>2.09E-09</v>
      </c>
      <c r="BQ288" s="5">
        <v>5.75663411805</v>
      </c>
      <c r="BR288" s="5">
        <v>3646.3503773544</v>
      </c>
      <c r="BS288">
        <f t="shared" si="35"/>
        <v>-9.113228275932993E-10</v>
      </c>
      <c r="BU288" s="5">
        <v>1.9E-10</v>
      </c>
      <c r="BV288" s="5">
        <v>2.86664273362</v>
      </c>
      <c r="BW288" s="5">
        <v>18422.6293590981</v>
      </c>
      <c r="BX288">
        <f t="shared" si="36"/>
        <v>-8.887541227861863E-11</v>
      </c>
    </row>
    <row r="289" spans="13:76" ht="12.75">
      <c r="M289" s="5">
        <v>6.03E-09</v>
      </c>
      <c r="N289" s="5">
        <v>3.81378921927</v>
      </c>
      <c r="O289" s="5">
        <v>316428.228673915</v>
      </c>
      <c r="P289">
        <f t="shared" si="33"/>
        <v>2.275728031656106E-09</v>
      </c>
      <c r="R289" s="5">
        <v>5.1E-10</v>
      </c>
      <c r="S289" s="5">
        <v>1.23882053879</v>
      </c>
      <c r="T289" s="5">
        <v>12539.853380183</v>
      </c>
      <c r="U289">
        <f t="shared" si="34"/>
        <v>3.945426555801023E-10</v>
      </c>
      <c r="BP289" s="5">
        <v>1.75E-09</v>
      </c>
      <c r="BQ289" s="5">
        <v>6.12762824412</v>
      </c>
      <c r="BR289" s="5">
        <v>239424.390254352</v>
      </c>
      <c r="BS289">
        <f t="shared" si="35"/>
        <v>-1.128675305789681E-09</v>
      </c>
      <c r="BU289" s="5">
        <v>2.5E-10</v>
      </c>
      <c r="BV289" s="5">
        <v>0.94995632141</v>
      </c>
      <c r="BW289" s="5">
        <v>31415.379249957</v>
      </c>
      <c r="BX289">
        <f t="shared" si="36"/>
        <v>2.4687940462896857E-10</v>
      </c>
    </row>
    <row r="290" spans="13:76" ht="12.75">
      <c r="M290" s="5">
        <v>5.59E-09</v>
      </c>
      <c r="N290" s="5">
        <v>1.81894804124</v>
      </c>
      <c r="O290" s="5">
        <v>17996.0311682222</v>
      </c>
      <c r="P290">
        <f t="shared" si="33"/>
        <v>-4.569750375823982E-09</v>
      </c>
      <c r="R290" s="5">
        <v>4.6E-10</v>
      </c>
      <c r="S290" s="5">
        <v>2.41369976086</v>
      </c>
      <c r="T290" s="5">
        <v>98068.5367163053</v>
      </c>
      <c r="U290">
        <f t="shared" si="34"/>
        <v>2.8682280656707866E-10</v>
      </c>
      <c r="BP290" s="5">
        <v>1.73E-09</v>
      </c>
      <c r="BQ290" s="5">
        <v>3.13887234973</v>
      </c>
      <c r="BR290" s="5">
        <v>6179.9830757728</v>
      </c>
      <c r="BS290">
        <f t="shared" si="35"/>
        <v>-9.732148431719002E-10</v>
      </c>
      <c r="BU290" s="5">
        <v>1.9E-10</v>
      </c>
      <c r="BV290" s="5">
        <v>4.71432851499</v>
      </c>
      <c r="BW290" s="5">
        <v>77690.7595057384</v>
      </c>
      <c r="BX290">
        <f t="shared" si="36"/>
        <v>1.293754687382063E-10</v>
      </c>
    </row>
    <row r="291" spans="13:76" ht="12.75">
      <c r="M291" s="5">
        <v>4.37E-09</v>
      </c>
      <c r="N291" s="5">
        <v>2.28625594435</v>
      </c>
      <c r="O291" s="5">
        <v>6303.8512454838</v>
      </c>
      <c r="P291">
        <f t="shared" si="33"/>
        <v>8.966673148542083E-10</v>
      </c>
      <c r="R291" s="5">
        <v>4.4E-10</v>
      </c>
      <c r="S291" s="5">
        <v>0.80750593746</v>
      </c>
      <c r="T291" s="5">
        <v>167283.761587665</v>
      </c>
      <c r="U291">
        <f t="shared" si="34"/>
        <v>6.662344108565431E-11</v>
      </c>
      <c r="BP291" s="5">
        <v>1.57E-09</v>
      </c>
      <c r="BQ291" s="5">
        <v>3.62822058179</v>
      </c>
      <c r="BR291" s="5">
        <v>18451.0785465659</v>
      </c>
      <c r="BS291">
        <f t="shared" si="35"/>
        <v>9.56785636679717E-10</v>
      </c>
      <c r="BU291" s="5">
        <v>1.9E-10</v>
      </c>
      <c r="BV291" s="5">
        <v>2.54227398241</v>
      </c>
      <c r="BW291" s="5">
        <v>77736.7834305024</v>
      </c>
      <c r="BX291">
        <f t="shared" si="36"/>
        <v>1.409848151306104E-10</v>
      </c>
    </row>
    <row r="292" spans="13:76" ht="12.75">
      <c r="M292" s="5">
        <v>5.18E-09</v>
      </c>
      <c r="N292" s="5">
        <v>4.86069178322</v>
      </c>
      <c r="O292" s="5">
        <v>20597.2439630412</v>
      </c>
      <c r="P292">
        <f t="shared" si="33"/>
        <v>-3.798284972951253E-09</v>
      </c>
      <c r="R292" s="5">
        <v>4.5E-10</v>
      </c>
      <c r="S292" s="5">
        <v>4.39613584445</v>
      </c>
      <c r="T292" s="5">
        <v>433.7117378768</v>
      </c>
      <c r="U292">
        <f t="shared" si="34"/>
        <v>-3.2234937347353174E-10</v>
      </c>
      <c r="BP292" s="5">
        <v>1.57E-09</v>
      </c>
      <c r="BQ292" s="5">
        <v>4.67695912235</v>
      </c>
      <c r="BR292" s="5">
        <v>6709.6740408674</v>
      </c>
      <c r="BS292">
        <f t="shared" si="35"/>
        <v>1.5470299768372893E-09</v>
      </c>
      <c r="BU292" s="5">
        <v>2E-10</v>
      </c>
      <c r="BV292" s="5">
        <v>5.91915117116</v>
      </c>
      <c r="BW292" s="5">
        <v>48739.859897083</v>
      </c>
      <c r="BX292">
        <f t="shared" si="36"/>
        <v>-6.80988082876467E-11</v>
      </c>
    </row>
    <row r="293" spans="13:71" ht="12.75">
      <c r="M293" s="5">
        <v>4.24E-09</v>
      </c>
      <c r="N293" s="5">
        <v>6.23520018693</v>
      </c>
      <c r="O293" s="5">
        <v>6489.2613984286</v>
      </c>
      <c r="P293">
        <f t="shared" si="33"/>
        <v>1.4629640684297248E-09</v>
      </c>
      <c r="R293" s="5">
        <v>4.4E-10</v>
      </c>
      <c r="S293" s="5">
        <v>2.57358208785</v>
      </c>
      <c r="T293" s="5">
        <v>12964.300703391</v>
      </c>
      <c r="U293">
        <f t="shared" si="34"/>
        <v>4.396064376273634E-10</v>
      </c>
      <c r="BP293" s="5">
        <v>1.46E-09</v>
      </c>
      <c r="BQ293" s="5">
        <v>3.09506069735</v>
      </c>
      <c r="BR293" s="5">
        <v>4907.3020501456</v>
      </c>
      <c r="BS293">
        <f t="shared" si="35"/>
        <v>1.3533078748216515E-09</v>
      </c>
    </row>
    <row r="294" spans="13:71" ht="12.75">
      <c r="M294" s="5">
        <v>5.18E-09</v>
      </c>
      <c r="N294" s="5">
        <v>6.17617826756</v>
      </c>
      <c r="O294" s="5">
        <v>0.2438174835</v>
      </c>
      <c r="P294">
        <f t="shared" si="33"/>
        <v>5.15214823667581E-09</v>
      </c>
      <c r="R294" s="5">
        <v>4.6E-10</v>
      </c>
      <c r="S294" s="5">
        <v>0.26142733448</v>
      </c>
      <c r="T294" s="5">
        <v>11.0457002639</v>
      </c>
      <c r="U294">
        <f t="shared" si="34"/>
        <v>4.2202873816361945E-10</v>
      </c>
      <c r="BP294" s="5">
        <v>1.65E-09</v>
      </c>
      <c r="BQ294" s="5">
        <v>2.2713912876</v>
      </c>
      <c r="BR294" s="5">
        <v>10660.6869350424</v>
      </c>
      <c r="BS294">
        <f t="shared" si="35"/>
        <v>1.5527006906021955E-09</v>
      </c>
    </row>
    <row r="295" spans="13:71" ht="12.75">
      <c r="M295" s="5">
        <v>4.04E-09</v>
      </c>
      <c r="N295" s="5">
        <v>5.72804304258</v>
      </c>
      <c r="O295" s="5">
        <v>5642.1982426092</v>
      </c>
      <c r="P295">
        <f t="shared" si="33"/>
        <v>3.566908322419813E-09</v>
      </c>
      <c r="R295" s="5">
        <v>4.5E-10</v>
      </c>
      <c r="S295" s="5">
        <v>2.46230645202</v>
      </c>
      <c r="T295" s="5">
        <v>51868.2486621788</v>
      </c>
      <c r="U295">
        <f t="shared" si="34"/>
        <v>1.4959963558681881E-10</v>
      </c>
      <c r="BP295" s="5">
        <v>2.01E-09</v>
      </c>
      <c r="BQ295" s="5">
        <v>1.67701267433</v>
      </c>
      <c r="BR295" s="5">
        <v>2107.0345075424</v>
      </c>
      <c r="BS295">
        <f t="shared" si="35"/>
        <v>2.7197109831182456E-11</v>
      </c>
    </row>
    <row r="296" spans="13:71" ht="12.75">
      <c r="M296" s="5">
        <v>4.58E-09</v>
      </c>
      <c r="N296" s="5">
        <v>1.34117773915</v>
      </c>
      <c r="O296" s="5">
        <v>6287.0080032545</v>
      </c>
      <c r="P296">
        <f t="shared" si="33"/>
        <v>-3.761596480090601E-09</v>
      </c>
      <c r="R296" s="5">
        <v>4.8E-10</v>
      </c>
      <c r="S296" s="5">
        <v>0.89551707131</v>
      </c>
      <c r="T296" s="5">
        <v>56600.2792895222</v>
      </c>
      <c r="U296">
        <f t="shared" si="34"/>
        <v>-3.336964753783668E-10</v>
      </c>
      <c r="BP296" s="5">
        <v>1.44E-09</v>
      </c>
      <c r="BQ296" s="5">
        <v>3.96947747592</v>
      </c>
      <c r="BR296" s="5">
        <v>6019.9919266186</v>
      </c>
      <c r="BS296">
        <f t="shared" si="35"/>
        <v>-1.3594985164559942E-09</v>
      </c>
    </row>
    <row r="297" spans="13:71" ht="12.75">
      <c r="M297" s="5">
        <v>5.48E-09</v>
      </c>
      <c r="N297" s="5">
        <v>5.6845445832</v>
      </c>
      <c r="O297" s="5">
        <v>155427.54293624</v>
      </c>
      <c r="P297">
        <f t="shared" si="33"/>
        <v>4.696184565916692E-10</v>
      </c>
      <c r="R297" s="5">
        <v>5.7E-10</v>
      </c>
      <c r="S297" s="5">
        <v>1.8641670701</v>
      </c>
      <c r="T297" s="5">
        <v>25287.7237993998</v>
      </c>
      <c r="U297">
        <f t="shared" si="34"/>
        <v>3.9866799686021607E-10</v>
      </c>
      <c r="BP297" s="5">
        <v>1.71E-09</v>
      </c>
      <c r="BQ297" s="5">
        <v>5.91302216729</v>
      </c>
      <c r="BR297" s="5">
        <v>6058.7310542895</v>
      </c>
      <c r="BS297">
        <f t="shared" si="35"/>
        <v>9.009730738256404E-10</v>
      </c>
    </row>
    <row r="298" spans="13:71" ht="12.75">
      <c r="M298" s="5">
        <v>5.47E-09</v>
      </c>
      <c r="N298" s="5">
        <v>1.03391472061</v>
      </c>
      <c r="O298" s="5">
        <v>3646.3503773544</v>
      </c>
      <c r="P298">
        <f t="shared" si="33"/>
        <v>4.897701547721175E-09</v>
      </c>
      <c r="R298" s="5">
        <v>4.2E-10</v>
      </c>
      <c r="S298" s="5">
        <v>5.26377513431</v>
      </c>
      <c r="T298" s="5">
        <v>26084.0218062162</v>
      </c>
      <c r="U298">
        <f t="shared" si="34"/>
        <v>-2.735040118601879E-10</v>
      </c>
      <c r="BP298" s="5">
        <v>1.44E-09</v>
      </c>
      <c r="BQ298" s="5">
        <v>2.1315565512</v>
      </c>
      <c r="BR298" s="5">
        <v>26084.0218062162</v>
      </c>
      <c r="BS298">
        <f t="shared" si="35"/>
        <v>9.479309073861725E-10</v>
      </c>
    </row>
    <row r="299" spans="13:71" ht="12.75">
      <c r="M299" s="5">
        <v>4.28E-09</v>
      </c>
      <c r="N299" s="5">
        <v>4.69800981138</v>
      </c>
      <c r="O299" s="5">
        <v>846.0828347512</v>
      </c>
      <c r="P299">
        <f t="shared" si="33"/>
        <v>-4.080623542078758E-09</v>
      </c>
      <c r="R299" s="5">
        <v>4.9E-10</v>
      </c>
      <c r="S299" s="5">
        <v>3.17757670611</v>
      </c>
      <c r="T299" s="5">
        <v>6303.8512454838</v>
      </c>
      <c r="U299">
        <f t="shared" si="34"/>
        <v>4.3624075553262003E-10</v>
      </c>
      <c r="BP299" s="5">
        <v>1.51E-09</v>
      </c>
      <c r="BQ299" s="5">
        <v>0.67417383554</v>
      </c>
      <c r="BR299" s="5">
        <v>2388.8940204492</v>
      </c>
      <c r="BS299">
        <f t="shared" si="35"/>
        <v>5.333764966263927E-10</v>
      </c>
    </row>
    <row r="300" spans="13:71" ht="12.75">
      <c r="M300" s="5">
        <v>4.13E-09</v>
      </c>
      <c r="N300" s="5">
        <v>6.02520699406</v>
      </c>
      <c r="O300" s="5">
        <v>6279.4854213396</v>
      </c>
      <c r="P300">
        <f t="shared" si="33"/>
        <v>-1.900256089152598E-09</v>
      </c>
      <c r="R300" s="5">
        <v>5.2E-10</v>
      </c>
      <c r="S300" s="5">
        <v>3.65266055509</v>
      </c>
      <c r="T300" s="5">
        <v>7872.1487452752</v>
      </c>
      <c r="U300">
        <f t="shared" si="34"/>
        <v>-2.753070129494118E-10</v>
      </c>
      <c r="BP300" s="5">
        <v>1.89E-09</v>
      </c>
      <c r="BQ300" s="5">
        <v>5.07122281033</v>
      </c>
      <c r="BR300" s="5">
        <v>263.0839233728</v>
      </c>
      <c r="BS300">
        <f t="shared" si="35"/>
        <v>-1.2688061515325846E-09</v>
      </c>
    </row>
    <row r="301" spans="13:71" ht="12.75">
      <c r="M301" s="5">
        <v>5.34E-09</v>
      </c>
      <c r="N301" s="5">
        <v>3.03030638223</v>
      </c>
      <c r="O301" s="5">
        <v>66567.4858652542</v>
      </c>
      <c r="P301">
        <f t="shared" si="33"/>
        <v>2.1320581172554694E-09</v>
      </c>
      <c r="R301" s="5">
        <v>4E-10</v>
      </c>
      <c r="S301" s="5">
        <v>1.81891629936</v>
      </c>
      <c r="T301" s="5">
        <v>34596.3646546524</v>
      </c>
      <c r="U301">
        <f t="shared" si="34"/>
        <v>3.66944552839349E-10</v>
      </c>
      <c r="BP301" s="5">
        <v>1.46E-09</v>
      </c>
      <c r="BQ301" s="5">
        <v>5.10373877968</v>
      </c>
      <c r="BR301" s="5">
        <v>10770.8932562618</v>
      </c>
      <c r="BS301">
        <f t="shared" si="35"/>
        <v>-8.885386707709707E-11</v>
      </c>
    </row>
    <row r="302" spans="13:71" ht="12.75">
      <c r="M302" s="5">
        <v>3.83E-09</v>
      </c>
      <c r="N302" s="5">
        <v>1.49056949125</v>
      </c>
      <c r="O302" s="5">
        <v>19800.9459562248</v>
      </c>
      <c r="P302">
        <f t="shared" si="33"/>
        <v>-2.9130760825568177E-09</v>
      </c>
      <c r="R302" s="5">
        <v>4.3E-10</v>
      </c>
      <c r="S302" s="5">
        <v>1.94164978061</v>
      </c>
      <c r="T302" s="5">
        <v>1903.4368125012</v>
      </c>
      <c r="U302">
        <f t="shared" si="34"/>
        <v>-2.7590564148182117E-10</v>
      </c>
      <c r="BP302" s="5">
        <v>1.87E-09</v>
      </c>
      <c r="BQ302" s="5">
        <v>1.23915444627</v>
      </c>
      <c r="BR302" s="5">
        <v>19402.7969528166</v>
      </c>
      <c r="BS302">
        <f t="shared" si="35"/>
        <v>-1.869999997395972E-09</v>
      </c>
    </row>
    <row r="303" spans="13:71" ht="12.75">
      <c r="M303" s="5">
        <v>4.1E-09</v>
      </c>
      <c r="N303" s="5">
        <v>5.28319622279</v>
      </c>
      <c r="O303" s="5">
        <v>18451.0785465659</v>
      </c>
      <c r="P303">
        <f t="shared" si="33"/>
        <v>3.0290888124175183E-09</v>
      </c>
      <c r="R303" s="5">
        <v>4.1E-10</v>
      </c>
      <c r="S303" s="5">
        <v>0.74461854136</v>
      </c>
      <c r="T303" s="5">
        <v>23937.856389741</v>
      </c>
      <c r="U303">
        <f t="shared" si="34"/>
        <v>3.652258798208007E-10</v>
      </c>
      <c r="BP303" s="5">
        <v>1.74E-09</v>
      </c>
      <c r="BQ303" s="5">
        <v>0.08407293391</v>
      </c>
      <c r="BR303" s="5">
        <v>9380.9596727172</v>
      </c>
      <c r="BS303">
        <f t="shared" si="35"/>
        <v>1.729669941479356E-09</v>
      </c>
    </row>
    <row r="304" spans="13:71" ht="12.75">
      <c r="M304" s="5">
        <v>3.52E-09</v>
      </c>
      <c r="N304" s="5">
        <v>4.68891600359</v>
      </c>
      <c r="O304" s="5">
        <v>4907.3020501456</v>
      </c>
      <c r="P304">
        <f t="shared" si="33"/>
        <v>1.2453031996486857E-09</v>
      </c>
      <c r="R304" s="5">
        <v>4.8E-10</v>
      </c>
      <c r="S304" s="5">
        <v>6.26034008181</v>
      </c>
      <c r="T304" s="5">
        <v>28286.9904848612</v>
      </c>
      <c r="U304">
        <f t="shared" si="34"/>
        <v>1.1662527716075342E-10</v>
      </c>
      <c r="BP304" s="5">
        <v>1.37E-09</v>
      </c>
      <c r="BQ304" s="5">
        <v>1.26247412309</v>
      </c>
      <c r="BR304" s="5">
        <v>12566.2190102856</v>
      </c>
      <c r="BS304">
        <f t="shared" si="35"/>
        <v>1.3047060607903373E-09</v>
      </c>
    </row>
    <row r="305" spans="13:71" ht="12.75">
      <c r="M305" s="5">
        <v>4.8E-09</v>
      </c>
      <c r="N305" s="5">
        <v>5.36572651091</v>
      </c>
      <c r="O305" s="5">
        <v>348.924420448</v>
      </c>
      <c r="P305">
        <f t="shared" si="33"/>
        <v>-3.940287415380574E-09</v>
      </c>
      <c r="R305" s="5">
        <v>4.5E-10</v>
      </c>
      <c r="S305" s="5">
        <v>5.4557501753</v>
      </c>
      <c r="T305" s="5">
        <v>60530.4889857418</v>
      </c>
      <c r="U305">
        <f t="shared" si="34"/>
        <v>-8.5191193595212E-11</v>
      </c>
      <c r="BP305" s="5">
        <v>1.37E-09</v>
      </c>
      <c r="BQ305" s="5">
        <v>3.52826010842</v>
      </c>
      <c r="BR305" s="5">
        <v>639.897286314</v>
      </c>
      <c r="BS305">
        <f t="shared" si="35"/>
        <v>1.2155210922528283E-09</v>
      </c>
    </row>
    <row r="306" spans="13:71" ht="12.75">
      <c r="M306" s="5">
        <v>3.44E-09</v>
      </c>
      <c r="N306" s="5">
        <v>5.89157452896</v>
      </c>
      <c r="O306" s="5">
        <v>6546.1597733642</v>
      </c>
      <c r="P306">
        <f t="shared" si="33"/>
        <v>2.3938945684923705E-09</v>
      </c>
      <c r="R306" s="5">
        <v>4E-10</v>
      </c>
      <c r="S306" s="5">
        <v>2.92105728682</v>
      </c>
      <c r="T306" s="5">
        <v>21548.9623692918</v>
      </c>
      <c r="U306">
        <f t="shared" si="34"/>
        <v>-2.062530278318553E-10</v>
      </c>
      <c r="BP306" s="5">
        <v>1.48E-09</v>
      </c>
      <c r="BQ306" s="5">
        <v>1.76124372592</v>
      </c>
      <c r="BR306" s="5">
        <v>5888.4499649322</v>
      </c>
      <c r="BS306">
        <f t="shared" si="35"/>
        <v>5.883444544195559E-10</v>
      </c>
    </row>
    <row r="307" spans="13:71" ht="12.75">
      <c r="M307" s="5">
        <v>3.4E-09</v>
      </c>
      <c r="N307" s="5">
        <v>0.3755742644</v>
      </c>
      <c r="O307" s="5">
        <v>13119.7211028251</v>
      </c>
      <c r="P307">
        <f t="shared" si="33"/>
        <v>3.3899370249480537E-09</v>
      </c>
      <c r="R307" s="5">
        <v>4E-10</v>
      </c>
      <c r="S307" s="5">
        <v>0.04502010161</v>
      </c>
      <c r="T307" s="5">
        <v>38526.574350872</v>
      </c>
      <c r="U307">
        <f t="shared" si="34"/>
        <v>3.972233169339476E-10</v>
      </c>
      <c r="BP307" s="5">
        <v>1.64E-09</v>
      </c>
      <c r="BQ307" s="5">
        <v>2.39195095081</v>
      </c>
      <c r="BR307" s="5">
        <v>6357.8574485587</v>
      </c>
      <c r="BS307">
        <f t="shared" si="35"/>
        <v>1.4099099272254845E-09</v>
      </c>
    </row>
    <row r="308" spans="13:71" ht="12.75">
      <c r="M308" s="5">
        <v>4.34E-09</v>
      </c>
      <c r="N308" s="5">
        <v>4.98417785901</v>
      </c>
      <c r="O308" s="5">
        <v>6702.5604938666</v>
      </c>
      <c r="P308">
        <f t="shared" si="33"/>
        <v>4.0250003551732675E-09</v>
      </c>
      <c r="R308" s="5">
        <v>5.3E-10</v>
      </c>
      <c r="S308" s="5">
        <v>3.64791042082</v>
      </c>
      <c r="T308" s="5">
        <v>11925.2740926006</v>
      </c>
      <c r="U308">
        <f t="shared" si="34"/>
        <v>5.179087372846247E-10</v>
      </c>
      <c r="BP308" s="5">
        <v>1.46E-09</v>
      </c>
      <c r="BQ308" s="5">
        <v>2.43675816553</v>
      </c>
      <c r="BR308" s="5">
        <v>5881.4037282342</v>
      </c>
      <c r="BS308">
        <f t="shared" si="35"/>
        <v>1.2206734581572097E-09</v>
      </c>
    </row>
    <row r="309" spans="13:71" ht="12.75">
      <c r="M309" s="5">
        <v>3.32E-09</v>
      </c>
      <c r="N309" s="5">
        <v>2.68902519126</v>
      </c>
      <c r="O309" s="5">
        <v>29296.6153895786</v>
      </c>
      <c r="P309">
        <f t="shared" si="33"/>
        <v>8.607061394139805E-10</v>
      </c>
      <c r="R309" s="5">
        <v>4.1E-10</v>
      </c>
      <c r="S309" s="5">
        <v>5.04048954693</v>
      </c>
      <c r="T309" s="5">
        <v>27832.0382192832</v>
      </c>
      <c r="U309">
        <f t="shared" si="34"/>
        <v>3.912363197525362E-10</v>
      </c>
      <c r="BP309" s="5">
        <v>1.61E-09</v>
      </c>
      <c r="BQ309" s="5">
        <v>1.15721259372</v>
      </c>
      <c r="BR309" s="5">
        <v>26735.9452622132</v>
      </c>
      <c r="BS309">
        <f t="shared" si="35"/>
        <v>1.3199020080906198E-09</v>
      </c>
    </row>
    <row r="310" spans="13:71" ht="12.75">
      <c r="M310" s="5">
        <v>4.48E-09</v>
      </c>
      <c r="N310" s="5">
        <v>2.16478480251</v>
      </c>
      <c r="O310" s="5">
        <v>5905.7022420756</v>
      </c>
      <c r="P310">
        <f t="shared" si="33"/>
        <v>3.870614937033867E-09</v>
      </c>
      <c r="R310" s="5">
        <v>4.2E-10</v>
      </c>
      <c r="S310" s="5">
        <v>5.19292937193</v>
      </c>
      <c r="T310" s="5">
        <v>19004.6479494084</v>
      </c>
      <c r="U310">
        <f t="shared" si="34"/>
        <v>-8.313804928887346E-11</v>
      </c>
      <c r="BP310" s="5">
        <v>1.31E-09</v>
      </c>
      <c r="BQ310" s="5">
        <v>2.51859277344</v>
      </c>
      <c r="BR310" s="5">
        <v>6599.467719648</v>
      </c>
      <c r="BS310">
        <f t="shared" si="35"/>
        <v>-1.2436967660208798E-09</v>
      </c>
    </row>
    <row r="311" spans="13:71" ht="12.75">
      <c r="M311" s="5">
        <v>3.44E-09</v>
      </c>
      <c r="N311" s="5">
        <v>2.06546633735</v>
      </c>
      <c r="O311" s="5">
        <v>49.7570254718</v>
      </c>
      <c r="P311">
        <f t="shared" si="33"/>
        <v>-3.1540385135760174E-09</v>
      </c>
      <c r="R311" s="5">
        <v>4E-10</v>
      </c>
      <c r="S311" s="5">
        <v>2.57120233428</v>
      </c>
      <c r="T311" s="5">
        <v>24356.7807886416</v>
      </c>
      <c r="U311">
        <f t="shared" si="34"/>
        <v>-1.8966232732387543E-11</v>
      </c>
      <c r="BP311" s="5">
        <v>1.53E-09</v>
      </c>
      <c r="BQ311" s="5">
        <v>5.85203687779</v>
      </c>
      <c r="BR311" s="5">
        <v>6281.5913772831</v>
      </c>
      <c r="BS311">
        <f t="shared" si="35"/>
        <v>-5.002946438089861E-10</v>
      </c>
    </row>
    <row r="312" spans="13:71" ht="12.75">
      <c r="M312" s="5">
        <v>3.15E-09</v>
      </c>
      <c r="N312" s="5">
        <v>1.24023811803</v>
      </c>
      <c r="O312" s="5">
        <v>4061.2192153944</v>
      </c>
      <c r="P312">
        <f t="shared" si="33"/>
        <v>1.7296828952514114E-09</v>
      </c>
      <c r="R312" s="5">
        <v>3.8E-10</v>
      </c>
      <c r="S312" s="5">
        <v>3.49190341464</v>
      </c>
      <c r="T312" s="5">
        <v>226858.23855437</v>
      </c>
      <c r="U312">
        <f t="shared" si="34"/>
        <v>-3.7297788387284345E-10</v>
      </c>
      <c r="BP312" s="5">
        <v>1.51E-09</v>
      </c>
      <c r="BQ312" s="5">
        <v>3.72338532649</v>
      </c>
      <c r="BR312" s="5">
        <v>12669.2444742014</v>
      </c>
      <c r="BS312">
        <f t="shared" si="35"/>
        <v>-1.3981525519361225E-09</v>
      </c>
    </row>
    <row r="313" spans="13:71" ht="12.75">
      <c r="M313" s="5">
        <v>3.24E-09</v>
      </c>
      <c r="N313" s="5">
        <v>2.30897526929</v>
      </c>
      <c r="O313" s="5">
        <v>5017.508371365</v>
      </c>
      <c r="P313">
        <f t="shared" si="33"/>
        <v>3.0921526351011395E-09</v>
      </c>
      <c r="R313" s="5">
        <v>3.9E-10</v>
      </c>
      <c r="S313" s="5">
        <v>4.61184303844</v>
      </c>
      <c r="T313" s="5">
        <v>95.9792272178</v>
      </c>
      <c r="U313">
        <f t="shared" si="34"/>
        <v>3.610668052568012E-10</v>
      </c>
      <c r="BP313" s="5">
        <v>1.32E-09</v>
      </c>
      <c r="BQ313" s="5">
        <v>2.38417741883</v>
      </c>
      <c r="BR313" s="5">
        <v>6525.8044539654</v>
      </c>
      <c r="BS313">
        <f t="shared" si="35"/>
        <v>-1.7322979994904101E-10</v>
      </c>
    </row>
    <row r="314" spans="13:71" ht="12.75">
      <c r="M314" s="5">
        <v>4.13E-09</v>
      </c>
      <c r="N314" s="5">
        <v>0.17171692962</v>
      </c>
      <c r="O314" s="5">
        <v>6286.6662786432</v>
      </c>
      <c r="P314">
        <f t="shared" si="33"/>
        <v>-3.4838604227184065E-09</v>
      </c>
      <c r="R314" s="5">
        <v>4.3E-10</v>
      </c>
      <c r="S314" s="5">
        <v>2.20648228147</v>
      </c>
      <c r="T314" s="5">
        <v>13521.7514415914</v>
      </c>
      <c r="U314">
        <f t="shared" si="34"/>
        <v>2.844596422780772E-10</v>
      </c>
      <c r="BP314" s="5">
        <v>1.29E-09</v>
      </c>
      <c r="BQ314" s="5">
        <v>0.75556744143</v>
      </c>
      <c r="BR314" s="5">
        <v>5017.508371365</v>
      </c>
      <c r="BS314">
        <f t="shared" si="35"/>
        <v>4.0658455076630887E-10</v>
      </c>
    </row>
    <row r="315" spans="13:71" ht="12.75">
      <c r="M315" s="5">
        <v>4.31E-09</v>
      </c>
      <c r="N315" s="5">
        <v>3.86601101393</v>
      </c>
      <c r="O315" s="5">
        <v>12489.8856287072</v>
      </c>
      <c r="P315">
        <f t="shared" si="33"/>
        <v>1.266274282878273E-09</v>
      </c>
      <c r="R315" s="5">
        <v>4E-10</v>
      </c>
      <c r="S315" s="5">
        <v>5.83461945819</v>
      </c>
      <c r="T315" s="5">
        <v>16193.6591775003</v>
      </c>
      <c r="U315">
        <f t="shared" si="34"/>
        <v>-3.2373135474161997E-10</v>
      </c>
      <c r="BP315" s="5">
        <v>1.27E-09</v>
      </c>
      <c r="BQ315" s="5">
        <v>0.00254936441</v>
      </c>
      <c r="BR315" s="5">
        <v>10027.9031957292</v>
      </c>
      <c r="BS315">
        <f t="shared" si="35"/>
        <v>-7.258370533939694E-10</v>
      </c>
    </row>
    <row r="316" spans="13:71" ht="12.75">
      <c r="M316" s="5">
        <v>3.49E-09</v>
      </c>
      <c r="N316" s="5">
        <v>4.55372342974</v>
      </c>
      <c r="O316" s="5">
        <v>4933.2084403326</v>
      </c>
      <c r="P316">
        <f t="shared" si="33"/>
        <v>5.225829307618237E-10</v>
      </c>
      <c r="R316" s="5">
        <v>4.5E-10</v>
      </c>
      <c r="S316" s="5">
        <v>3.73714372195</v>
      </c>
      <c r="T316" s="5">
        <v>7875.6718636242</v>
      </c>
      <c r="U316">
        <f t="shared" si="34"/>
        <v>-2.8628248787553704E-10</v>
      </c>
      <c r="BP316" s="5">
        <v>1.48E-09</v>
      </c>
      <c r="BQ316" s="5">
        <v>2.85102145528</v>
      </c>
      <c r="BR316" s="5">
        <v>6418.1409300268</v>
      </c>
      <c r="BS316">
        <f t="shared" si="35"/>
        <v>1.103596164083359E-09</v>
      </c>
    </row>
    <row r="317" spans="13:71" ht="12.75">
      <c r="M317" s="5">
        <v>3.23E-09</v>
      </c>
      <c r="N317" s="5">
        <v>0.41971136084</v>
      </c>
      <c r="O317" s="5">
        <v>10770.8932562618</v>
      </c>
      <c r="P317">
        <f t="shared" si="33"/>
        <v>3.228290643298125E-09</v>
      </c>
      <c r="R317" s="5">
        <v>4.3E-10</v>
      </c>
      <c r="S317" s="5">
        <v>1.14078465002</v>
      </c>
      <c r="T317" s="5">
        <v>49.7570254718</v>
      </c>
      <c r="U317">
        <f t="shared" si="34"/>
        <v>-1.0032738483639505E-10</v>
      </c>
      <c r="BP317" s="5">
        <v>1.43E-09</v>
      </c>
      <c r="BQ317" s="5">
        <v>5.74460279367</v>
      </c>
      <c r="BR317" s="5">
        <v>26087.9031415742</v>
      </c>
      <c r="BS317">
        <f t="shared" si="35"/>
        <v>-1.353353578975624E-09</v>
      </c>
    </row>
    <row r="318" spans="13:71" ht="12.75">
      <c r="M318" s="5">
        <v>3.41E-09</v>
      </c>
      <c r="N318" s="5">
        <v>2.68612860807</v>
      </c>
      <c r="O318" s="5">
        <v>11.0457002639</v>
      </c>
      <c r="P318">
        <f t="shared" si="33"/>
        <v>-3.2498130768240728E-09</v>
      </c>
      <c r="R318" s="5">
        <v>3.7E-10</v>
      </c>
      <c r="S318" s="5">
        <v>1.29390383811</v>
      </c>
      <c r="T318" s="5">
        <v>310.8407988684</v>
      </c>
      <c r="U318">
        <f t="shared" si="34"/>
        <v>2.492185663293404E-10</v>
      </c>
      <c r="BP318" s="5">
        <v>1.72E-09</v>
      </c>
      <c r="BQ318" s="5">
        <v>0.4128996224</v>
      </c>
      <c r="BR318" s="5">
        <v>174242.465964049</v>
      </c>
      <c r="BS318">
        <f t="shared" si="35"/>
        <v>1.7005022127368683E-09</v>
      </c>
    </row>
    <row r="319" spans="13:71" ht="12.75">
      <c r="M319" s="5">
        <v>3.16E-09</v>
      </c>
      <c r="N319" s="5">
        <v>3.52936906658</v>
      </c>
      <c r="O319" s="5">
        <v>17782.7320727842</v>
      </c>
      <c r="P319">
        <f t="shared" si="33"/>
        <v>-2.7285480988159404E-09</v>
      </c>
      <c r="R319" s="5">
        <v>3.8E-10</v>
      </c>
      <c r="S319" s="5">
        <v>0.9597092595</v>
      </c>
      <c r="T319" s="5">
        <v>664.75604513</v>
      </c>
      <c r="U319">
        <f t="shared" si="34"/>
        <v>-3.4602796057474717E-10</v>
      </c>
      <c r="BP319" s="5">
        <v>1.36E-09</v>
      </c>
      <c r="BQ319" s="5">
        <v>4.15497742275</v>
      </c>
      <c r="BR319" s="5">
        <v>6311.5250374592</v>
      </c>
      <c r="BS319">
        <f t="shared" si="35"/>
        <v>1.1168851073812183E-09</v>
      </c>
    </row>
    <row r="320" spans="13:71" ht="12.75">
      <c r="M320" s="5">
        <v>3.15E-09</v>
      </c>
      <c r="N320" s="5">
        <v>5.63357264999</v>
      </c>
      <c r="O320" s="5">
        <v>568.8218740274</v>
      </c>
      <c r="P320">
        <f t="shared" si="33"/>
        <v>2.4588106722663413E-09</v>
      </c>
      <c r="R320" s="5">
        <v>3.7E-10</v>
      </c>
      <c r="S320" s="5">
        <v>4.27532649462</v>
      </c>
      <c r="T320" s="5">
        <v>6709.6740408674</v>
      </c>
      <c r="U320">
        <f t="shared" si="34"/>
        <v>3.6022580478490025E-10</v>
      </c>
      <c r="BP320" s="5">
        <v>1.7E-09</v>
      </c>
      <c r="BQ320" s="5">
        <v>5.98194913129</v>
      </c>
      <c r="BR320" s="5">
        <v>327574.514276781</v>
      </c>
      <c r="BS320">
        <f t="shared" si="35"/>
        <v>-1.1317695537003353E-10</v>
      </c>
    </row>
    <row r="321" spans="13:71" ht="12.75">
      <c r="M321" s="5">
        <v>3.4E-09</v>
      </c>
      <c r="N321" s="5">
        <v>3.83571212349</v>
      </c>
      <c r="O321" s="5">
        <v>10660.6869350424</v>
      </c>
      <c r="P321">
        <f t="shared" si="33"/>
        <v>-1.1295494779519778E-09</v>
      </c>
      <c r="R321" s="5">
        <v>3.8E-10</v>
      </c>
      <c r="S321" s="5">
        <v>2.20108541046</v>
      </c>
      <c r="T321" s="5">
        <v>28628.3362260996</v>
      </c>
      <c r="U321">
        <f t="shared" si="34"/>
        <v>-9.799499865341532E-11</v>
      </c>
      <c r="BP321" s="5">
        <v>1.24E-09</v>
      </c>
      <c r="BQ321" s="5">
        <v>1.65497607604</v>
      </c>
      <c r="BR321" s="5">
        <v>32217.2001810808</v>
      </c>
      <c r="BS321">
        <f t="shared" si="35"/>
        <v>6.919381339210215E-10</v>
      </c>
    </row>
    <row r="322" spans="13:71" ht="12.75">
      <c r="M322" s="5">
        <v>2.97E-09</v>
      </c>
      <c r="N322" s="5">
        <v>0.62691416712</v>
      </c>
      <c r="O322" s="5">
        <v>20995.3929664494</v>
      </c>
      <c r="P322">
        <f aca="true" t="shared" si="37" ref="P322:P385">M322*COS(N322+O322*$E$16)</f>
        <v>7.875355648266059E-10</v>
      </c>
      <c r="R322" s="5">
        <v>3.9E-10</v>
      </c>
      <c r="S322" s="5">
        <v>0.85957361635</v>
      </c>
      <c r="T322" s="5">
        <v>16522.6597160022</v>
      </c>
      <c r="U322">
        <f aca="true" t="shared" si="38" ref="U322:U341">R322*COS(S322+T322*$E$16)</f>
        <v>-1.4043127556029417E-10</v>
      </c>
      <c r="BP322" s="5">
        <v>1.36E-09</v>
      </c>
      <c r="BQ322" s="5">
        <v>2.48430783417</v>
      </c>
      <c r="BR322" s="5">
        <v>13341.6743113068</v>
      </c>
      <c r="BS322">
        <f aca="true" t="shared" si="39" ref="BS322:BS385">BP322*COS(BQ322+BR322*$E$16)</f>
        <v>3.863122238217862E-10</v>
      </c>
    </row>
    <row r="323" spans="13:71" ht="12.75">
      <c r="M323" s="5">
        <v>4.05E-09</v>
      </c>
      <c r="N323" s="5">
        <v>1.00085779471</v>
      </c>
      <c r="O323" s="5">
        <v>16460.3335295249</v>
      </c>
      <c r="P323">
        <f t="shared" si="37"/>
        <v>1.2892719470907018E-09</v>
      </c>
      <c r="R323" s="5">
        <v>4E-10</v>
      </c>
      <c r="S323" s="5">
        <v>4.35214003837</v>
      </c>
      <c r="T323" s="5">
        <v>48739.859897083</v>
      </c>
      <c r="U323">
        <f t="shared" si="38"/>
        <v>-3.766115084131846E-10</v>
      </c>
      <c r="BP323" s="5">
        <v>1.65E-09</v>
      </c>
      <c r="BQ323" s="5">
        <v>2.496679246</v>
      </c>
      <c r="BR323" s="5">
        <v>58953.145443294</v>
      </c>
      <c r="BS323">
        <f t="shared" si="39"/>
        <v>1.2782028607385185E-09</v>
      </c>
    </row>
    <row r="324" spans="13:71" ht="12.75">
      <c r="M324" s="5">
        <v>4.14E-09</v>
      </c>
      <c r="N324" s="5">
        <v>1.21998752076</v>
      </c>
      <c r="O324" s="5">
        <v>51092.7260508548</v>
      </c>
      <c r="P324">
        <f t="shared" si="37"/>
        <v>3.97820944719495E-09</v>
      </c>
      <c r="R324" s="5">
        <v>3.6E-10</v>
      </c>
      <c r="S324" s="5">
        <v>1.68167662194</v>
      </c>
      <c r="T324" s="5">
        <v>10344.2950653858</v>
      </c>
      <c r="U324">
        <f t="shared" si="38"/>
        <v>-8.419311826885959E-11</v>
      </c>
      <c r="BP324" s="5">
        <v>1.23E-09</v>
      </c>
      <c r="BQ324" s="5">
        <v>3.45660563754</v>
      </c>
      <c r="BR324" s="5">
        <v>6277.552925684</v>
      </c>
      <c r="BS324">
        <f t="shared" si="39"/>
        <v>1.0514667778915144E-09</v>
      </c>
    </row>
    <row r="325" spans="13:71" ht="12.75">
      <c r="M325" s="5">
        <v>3.36E-09</v>
      </c>
      <c r="N325" s="5">
        <v>4.71465945226</v>
      </c>
      <c r="O325" s="5">
        <v>6179.9830757728</v>
      </c>
      <c r="P325">
        <f t="shared" si="37"/>
        <v>2.7873189565636214E-09</v>
      </c>
      <c r="R325" s="5">
        <v>4E-10</v>
      </c>
      <c r="S325" s="5">
        <v>5.13217319067</v>
      </c>
      <c r="T325" s="5">
        <v>15664.0355227085</v>
      </c>
      <c r="U325">
        <f t="shared" si="38"/>
        <v>2.1246947810997887E-10</v>
      </c>
      <c r="BP325" s="5">
        <v>1.17E-09</v>
      </c>
      <c r="BQ325" s="5">
        <v>0.86065134175</v>
      </c>
      <c r="BR325" s="5">
        <v>6245.0481773556</v>
      </c>
      <c r="BS325">
        <f t="shared" si="39"/>
        <v>-1.0612122981209379E-09</v>
      </c>
    </row>
    <row r="326" spans="13:71" ht="12.75">
      <c r="M326" s="5">
        <v>3.61E-09</v>
      </c>
      <c r="N326" s="5">
        <v>3.71227508354</v>
      </c>
      <c r="O326" s="5">
        <v>28237.2334593894</v>
      </c>
      <c r="P326">
        <f t="shared" si="37"/>
        <v>-1.126671143471886E-09</v>
      </c>
      <c r="R326" s="5">
        <v>3.6E-10</v>
      </c>
      <c r="S326" s="5">
        <v>3.72187132496</v>
      </c>
      <c r="T326" s="5">
        <v>30774.5016425748</v>
      </c>
      <c r="U326">
        <f t="shared" si="38"/>
        <v>2.884293809159681E-10</v>
      </c>
      <c r="BP326" s="5">
        <v>1.49E-09</v>
      </c>
      <c r="BQ326" s="5">
        <v>5.61358280963</v>
      </c>
      <c r="BR326" s="5">
        <v>5729.506447149</v>
      </c>
      <c r="BS326">
        <f t="shared" si="39"/>
        <v>1.2588421341275594E-09</v>
      </c>
    </row>
    <row r="327" spans="13:71" ht="12.75">
      <c r="M327" s="5">
        <v>3.85E-09</v>
      </c>
      <c r="N327" s="5">
        <v>6.21925225757</v>
      </c>
      <c r="O327" s="5">
        <v>24356.7807886416</v>
      </c>
      <c r="P327">
        <f t="shared" si="37"/>
        <v>2.0251004911485273E-09</v>
      </c>
      <c r="R327" s="5">
        <v>3.6E-10</v>
      </c>
      <c r="S327" s="5">
        <v>3.32158458257</v>
      </c>
      <c r="T327" s="5">
        <v>16207.886271502</v>
      </c>
      <c r="U327">
        <f t="shared" si="38"/>
        <v>3.5344946148298913E-10</v>
      </c>
      <c r="BP327" s="5">
        <v>1.53E-09</v>
      </c>
      <c r="BQ327" s="5">
        <v>0.2686002995</v>
      </c>
      <c r="BR327" s="5">
        <v>245.8316462294</v>
      </c>
      <c r="BS327">
        <f t="shared" si="39"/>
        <v>-1.4001198372687996E-09</v>
      </c>
    </row>
    <row r="328" spans="13:71" ht="12.75">
      <c r="M328" s="5">
        <v>3.27E-09</v>
      </c>
      <c r="N328" s="5">
        <v>1.05606504715</v>
      </c>
      <c r="O328" s="5">
        <v>11919.140866668</v>
      </c>
      <c r="P328">
        <f t="shared" si="37"/>
        <v>-3.1653275463294707E-09</v>
      </c>
      <c r="R328" s="5">
        <v>4.5E-10</v>
      </c>
      <c r="S328" s="5">
        <v>3.94202418608</v>
      </c>
      <c r="T328" s="5">
        <v>10988.808157535</v>
      </c>
      <c r="U328">
        <f t="shared" si="38"/>
        <v>4.4669832767581425E-10</v>
      </c>
      <c r="BP328" s="5">
        <v>1.28E-09</v>
      </c>
      <c r="BQ328" s="5">
        <v>0.71204006588</v>
      </c>
      <c r="BR328" s="5">
        <v>103.0927742186</v>
      </c>
      <c r="BS328">
        <f t="shared" si="39"/>
        <v>-6.361316971488507E-10</v>
      </c>
    </row>
    <row r="329" spans="13:71" ht="12.75">
      <c r="M329" s="5">
        <v>3.27E-09</v>
      </c>
      <c r="N329" s="5">
        <v>6.14222420989</v>
      </c>
      <c r="O329" s="5">
        <v>6254.6266625236</v>
      </c>
      <c r="P329">
        <f t="shared" si="37"/>
        <v>-8.490251917299219E-10</v>
      </c>
      <c r="R329" s="5">
        <v>3.9E-10</v>
      </c>
      <c r="S329" s="5">
        <v>1.51948786199</v>
      </c>
      <c r="T329" s="5">
        <v>12029.3471878874</v>
      </c>
      <c r="U329">
        <f t="shared" si="38"/>
        <v>2.2671180220596552E-10</v>
      </c>
      <c r="BP329" s="5">
        <v>1.59E-09</v>
      </c>
      <c r="BQ329" s="5">
        <v>2.43166592149</v>
      </c>
      <c r="BR329" s="5">
        <v>221995.028801495</v>
      </c>
      <c r="BS329">
        <f t="shared" si="39"/>
        <v>1.5068107152202233E-09</v>
      </c>
    </row>
    <row r="330" spans="13:71" ht="12.75">
      <c r="M330" s="5">
        <v>2.68E-09</v>
      </c>
      <c r="N330" s="5">
        <v>2.47224339737</v>
      </c>
      <c r="O330" s="5">
        <v>664.75604513</v>
      </c>
      <c r="P330">
        <f t="shared" si="37"/>
        <v>9.636321948020754E-10</v>
      </c>
      <c r="R330" s="5">
        <v>2.6E-10</v>
      </c>
      <c r="S330" s="5">
        <v>3.8768588318</v>
      </c>
      <c r="T330" s="5">
        <v>6262.7205305926</v>
      </c>
      <c r="U330">
        <f t="shared" si="38"/>
        <v>2.4649995273021804E-10</v>
      </c>
      <c r="BP330" s="5">
        <v>1.3E-09</v>
      </c>
      <c r="BQ330" s="5">
        <v>2.80707316718</v>
      </c>
      <c r="BR330" s="5">
        <v>6016.4688082696</v>
      </c>
      <c r="BS330">
        <f t="shared" si="39"/>
        <v>-3.290738619326023E-11</v>
      </c>
    </row>
    <row r="331" spans="13:71" ht="12.75">
      <c r="M331" s="5">
        <v>2.69E-09</v>
      </c>
      <c r="N331" s="5">
        <v>1.86207884109</v>
      </c>
      <c r="O331" s="5">
        <v>23141.5583829246</v>
      </c>
      <c r="P331">
        <f t="shared" si="37"/>
        <v>-2.514293637638378E-09</v>
      </c>
      <c r="R331" s="5">
        <v>2.4E-10</v>
      </c>
      <c r="S331" s="5">
        <v>4.91804163466</v>
      </c>
      <c r="T331" s="5">
        <v>19651.048481098</v>
      </c>
      <c r="U331">
        <f t="shared" si="38"/>
        <v>-1.8106168773019412E-10</v>
      </c>
      <c r="BP331" s="5">
        <v>1.37E-09</v>
      </c>
      <c r="BQ331" s="5">
        <v>1.70657709294</v>
      </c>
      <c r="BR331" s="5">
        <v>12566.08438968</v>
      </c>
      <c r="BS331">
        <f t="shared" si="39"/>
        <v>1.3580233653750336E-09</v>
      </c>
    </row>
    <row r="332" spans="13:71" ht="12.75">
      <c r="M332" s="5">
        <v>3.45E-09</v>
      </c>
      <c r="N332" s="5">
        <v>0.93461290184</v>
      </c>
      <c r="O332" s="5">
        <v>6058.7310542895</v>
      </c>
      <c r="P332">
        <f t="shared" si="37"/>
        <v>3.3070138157608423E-09</v>
      </c>
      <c r="R332" s="5">
        <v>2.3E-10</v>
      </c>
      <c r="S332" s="5">
        <v>0.29300197709</v>
      </c>
      <c r="T332" s="5">
        <v>13362.4497067992</v>
      </c>
      <c r="U332">
        <f t="shared" si="38"/>
        <v>-2.296570095760065E-10</v>
      </c>
      <c r="BP332" s="5">
        <v>1.11E-09</v>
      </c>
      <c r="BQ332" s="5">
        <v>1.56305648432</v>
      </c>
      <c r="BR332" s="5">
        <v>17782.7320727842</v>
      </c>
      <c r="BS332">
        <f t="shared" si="39"/>
        <v>8.85943808196786E-10</v>
      </c>
    </row>
    <row r="333" spans="13:71" ht="12.75">
      <c r="M333" s="5">
        <v>2.96E-09</v>
      </c>
      <c r="N333" s="5">
        <v>4.5168755718</v>
      </c>
      <c r="O333" s="5">
        <v>6418.1409300268</v>
      </c>
      <c r="P333">
        <f t="shared" si="37"/>
        <v>-2.1728743948247436E-09</v>
      </c>
      <c r="R333" s="5">
        <v>2.1E-10</v>
      </c>
      <c r="S333" s="5">
        <v>3.18605672363</v>
      </c>
      <c r="T333" s="5">
        <v>6277.552925684</v>
      </c>
      <c r="U333">
        <f t="shared" si="38"/>
        <v>1.4386699267730788E-10</v>
      </c>
      <c r="BP333" s="5">
        <v>1.13E-09</v>
      </c>
      <c r="BQ333" s="5">
        <v>3.58302904101</v>
      </c>
      <c r="BR333" s="5">
        <v>25685.872802808</v>
      </c>
      <c r="BS333">
        <f t="shared" si="39"/>
        <v>1.5424986357157417E-11</v>
      </c>
    </row>
    <row r="334" spans="13:71" ht="12.75">
      <c r="M334" s="5">
        <v>3.53E-09</v>
      </c>
      <c r="N334" s="5">
        <v>4.50033653082</v>
      </c>
      <c r="O334" s="5">
        <v>36949.2308084242</v>
      </c>
      <c r="P334">
        <f t="shared" si="37"/>
        <v>-2.418955036940228E-09</v>
      </c>
      <c r="R334" s="5">
        <v>2.1E-10</v>
      </c>
      <c r="S334" s="5">
        <v>6.07546891132</v>
      </c>
      <c r="T334" s="5">
        <v>18139.2945014159</v>
      </c>
      <c r="U334">
        <f t="shared" si="38"/>
        <v>-1.8396419242269833E-10</v>
      </c>
      <c r="BP334" s="5">
        <v>1.09E-09</v>
      </c>
      <c r="BQ334" s="5">
        <v>3.26403795962</v>
      </c>
      <c r="BR334" s="5">
        <v>6819.8803620868</v>
      </c>
      <c r="BS334">
        <f t="shared" si="39"/>
        <v>1.0607069978574775E-09</v>
      </c>
    </row>
    <row r="335" spans="13:71" ht="12.75">
      <c r="M335" s="5">
        <v>2.6E-09</v>
      </c>
      <c r="N335" s="5">
        <v>4.04963546305</v>
      </c>
      <c r="O335" s="5">
        <v>6525.8044539654</v>
      </c>
      <c r="P335">
        <f t="shared" si="37"/>
        <v>-2.533722400668798E-09</v>
      </c>
      <c r="R335" s="5">
        <v>2.2E-10</v>
      </c>
      <c r="S335" s="5">
        <v>2.31199937177</v>
      </c>
      <c r="T335" s="5">
        <v>6303.4311693902</v>
      </c>
      <c r="U335">
        <f t="shared" si="38"/>
        <v>4.9464985745075174E-11</v>
      </c>
      <c r="BP335" s="5">
        <v>1.22E-09</v>
      </c>
      <c r="BQ335" s="5">
        <v>0.34120688217</v>
      </c>
      <c r="BR335" s="5">
        <v>1162.4747044078</v>
      </c>
      <c r="BS335">
        <f t="shared" si="39"/>
        <v>-1.1999873726084357E-09</v>
      </c>
    </row>
    <row r="336" spans="13:71" ht="12.75">
      <c r="M336" s="5">
        <v>2.98E-09</v>
      </c>
      <c r="N336" s="5">
        <v>2.20046722622</v>
      </c>
      <c r="O336" s="5">
        <v>156137.475984799</v>
      </c>
      <c r="P336">
        <f t="shared" si="37"/>
        <v>-5.513387863502452E-10</v>
      </c>
      <c r="R336" s="5">
        <v>2.1E-10</v>
      </c>
      <c r="S336" s="5">
        <v>3.58418394393</v>
      </c>
      <c r="T336" s="5">
        <v>18209.3302636601</v>
      </c>
      <c r="U336">
        <f t="shared" si="38"/>
        <v>-1.042521279316455E-10</v>
      </c>
      <c r="BP336" s="5">
        <v>1.19E-09</v>
      </c>
      <c r="BQ336" s="5">
        <v>5.84644718278</v>
      </c>
      <c r="BR336" s="5">
        <v>12721.572099417</v>
      </c>
      <c r="BS336">
        <f t="shared" si="39"/>
        <v>1.1871960233670764E-09</v>
      </c>
    </row>
    <row r="337" spans="13:71" ht="12.75">
      <c r="M337" s="5">
        <v>2.53E-09</v>
      </c>
      <c r="N337" s="5">
        <v>3.49900838384</v>
      </c>
      <c r="O337" s="5">
        <v>29864.334027309</v>
      </c>
      <c r="P337">
        <f t="shared" si="37"/>
        <v>1.741681331169177E-09</v>
      </c>
      <c r="R337" s="5">
        <v>2.6E-10</v>
      </c>
      <c r="S337" s="5">
        <v>2.068012969</v>
      </c>
      <c r="T337" s="5">
        <v>12573.2652469836</v>
      </c>
      <c r="U337">
        <f t="shared" si="38"/>
        <v>2.160728995346208E-10</v>
      </c>
      <c r="BP337" s="5">
        <v>1.44E-09</v>
      </c>
      <c r="BQ337" s="5">
        <v>2.28899679126</v>
      </c>
      <c r="BR337" s="5">
        <v>12489.8856287072</v>
      </c>
      <c r="BS337">
        <f t="shared" si="39"/>
        <v>1.373791538756289E-09</v>
      </c>
    </row>
    <row r="338" spans="13:71" ht="12.75">
      <c r="M338" s="5">
        <v>2.54E-09</v>
      </c>
      <c r="N338" s="5">
        <v>2.44901693835</v>
      </c>
      <c r="O338" s="5">
        <v>5331.3574437408</v>
      </c>
      <c r="P338">
        <f t="shared" si="37"/>
        <v>-1.8106754644306399E-10</v>
      </c>
      <c r="R338" s="5">
        <v>2.1E-10</v>
      </c>
      <c r="S338" s="5">
        <v>1.56857722317</v>
      </c>
      <c r="T338" s="5">
        <v>13341.6743113068</v>
      </c>
      <c r="U338">
        <f t="shared" si="38"/>
        <v>-1.233318178471398E-10</v>
      </c>
      <c r="BP338" s="5">
        <v>1.37E-09</v>
      </c>
      <c r="BQ338" s="5">
        <v>5.82029768354</v>
      </c>
      <c r="BR338" s="5">
        <v>44809.6502008634</v>
      </c>
      <c r="BS338">
        <f t="shared" si="39"/>
        <v>-5.260596088491741E-10</v>
      </c>
    </row>
    <row r="339" spans="13:71" ht="12.75">
      <c r="M339" s="5">
        <v>2.96E-09</v>
      </c>
      <c r="N339" s="5">
        <v>0.84347588787</v>
      </c>
      <c r="O339" s="5">
        <v>5729.506447149</v>
      </c>
      <c r="P339">
        <f t="shared" si="37"/>
        <v>-1.4366634468758897E-09</v>
      </c>
      <c r="R339" s="5">
        <v>2.4E-10</v>
      </c>
      <c r="S339" s="5">
        <v>5.72605158675</v>
      </c>
      <c r="T339" s="5">
        <v>29864.334027309</v>
      </c>
      <c r="U339">
        <f t="shared" si="38"/>
        <v>-2.3872681208588E-10</v>
      </c>
      <c r="BP339" s="5">
        <v>1.07E-09</v>
      </c>
      <c r="BQ339" s="5">
        <v>2.4281854414</v>
      </c>
      <c r="BR339" s="5">
        <v>5547.1993364596</v>
      </c>
      <c r="BS339">
        <f t="shared" si="39"/>
        <v>3.637622709869693E-10</v>
      </c>
    </row>
    <row r="340" spans="13:71" ht="12.75">
      <c r="M340" s="5">
        <v>2.98E-09</v>
      </c>
      <c r="N340" s="5">
        <v>1.29194706125</v>
      </c>
      <c r="O340" s="5">
        <v>22805.7355659936</v>
      </c>
      <c r="P340">
        <f t="shared" si="37"/>
        <v>4.187044740813874E-11</v>
      </c>
      <c r="R340" s="5">
        <v>2.4E-10</v>
      </c>
      <c r="S340" s="5">
        <v>1.40237993205</v>
      </c>
      <c r="T340" s="5">
        <v>14712.317116458</v>
      </c>
      <c r="U340">
        <f t="shared" si="38"/>
        <v>-2.3195090679547639E-10</v>
      </c>
      <c r="BP340" s="5">
        <v>1.34E-09</v>
      </c>
      <c r="BQ340" s="5">
        <v>1.26539982939</v>
      </c>
      <c r="BR340" s="5">
        <v>5331.3574437408</v>
      </c>
      <c r="BS340">
        <f t="shared" si="39"/>
        <v>-1.273721187486248E-09</v>
      </c>
    </row>
    <row r="341" spans="13:71" ht="12.75">
      <c r="M341" s="5">
        <v>2.41E-09</v>
      </c>
      <c r="N341" s="5">
        <v>2.00721280805</v>
      </c>
      <c r="O341" s="5">
        <v>16737.5772365966</v>
      </c>
      <c r="P341">
        <f t="shared" si="37"/>
        <v>2.286237421879551E-09</v>
      </c>
      <c r="R341" s="5">
        <v>2.5E-10</v>
      </c>
      <c r="S341" s="5">
        <v>5.71466092822</v>
      </c>
      <c r="T341" s="5">
        <v>25934.1243310894</v>
      </c>
      <c r="U341">
        <f t="shared" si="38"/>
        <v>1.869650218725202E-10</v>
      </c>
      <c r="BP341" s="5">
        <v>1.03E-09</v>
      </c>
      <c r="BQ341" s="5">
        <v>5.96518130595</v>
      </c>
      <c r="BR341" s="5">
        <v>6321.1035226272</v>
      </c>
      <c r="BS341">
        <f t="shared" si="39"/>
        <v>-8.523810294353003E-10</v>
      </c>
    </row>
    <row r="342" spans="13:71" ht="12.75">
      <c r="M342" s="5">
        <v>3.11E-09</v>
      </c>
      <c r="N342" s="5">
        <v>1.23668016334</v>
      </c>
      <c r="O342" s="5">
        <v>6281.5913772831</v>
      </c>
      <c r="P342">
        <f t="shared" si="37"/>
        <v>-2.8266903434086344E-09</v>
      </c>
      <c r="BP342" s="5">
        <v>1.09E-09</v>
      </c>
      <c r="BQ342" s="5">
        <v>0.33808549034</v>
      </c>
      <c r="BR342" s="5">
        <v>11300.5842213564</v>
      </c>
      <c r="BS342">
        <f t="shared" si="39"/>
        <v>8.425379191158467E-10</v>
      </c>
    </row>
    <row r="343" spans="13:71" ht="12.75">
      <c r="M343" s="5">
        <v>2.4E-09</v>
      </c>
      <c r="N343" s="5">
        <v>2.51650377121</v>
      </c>
      <c r="O343" s="5">
        <v>6245.0481773556</v>
      </c>
      <c r="P343">
        <f t="shared" si="37"/>
        <v>-8.220306649639437E-10</v>
      </c>
      <c r="BP343" s="5">
        <v>1.29E-09</v>
      </c>
      <c r="BQ343" s="5">
        <v>5.89187277327</v>
      </c>
      <c r="BR343" s="5">
        <v>12029.3471878874</v>
      </c>
      <c r="BS343">
        <f t="shared" si="39"/>
        <v>-1.2396414813487565E-09</v>
      </c>
    </row>
    <row r="344" spans="13:71" ht="12.75">
      <c r="M344" s="5">
        <v>3.32E-09</v>
      </c>
      <c r="N344" s="5">
        <v>3.55576945724</v>
      </c>
      <c r="O344" s="5">
        <v>7668.6374249425</v>
      </c>
      <c r="P344">
        <f t="shared" si="37"/>
        <v>2.5602653425304566E-09</v>
      </c>
      <c r="BP344" s="5">
        <v>1.22E-09</v>
      </c>
      <c r="BQ344" s="5">
        <v>5.77325634636</v>
      </c>
      <c r="BR344" s="5">
        <v>11919.140866668</v>
      </c>
      <c r="BS344">
        <f t="shared" si="39"/>
        <v>-3.1187367383474805E-10</v>
      </c>
    </row>
    <row r="345" spans="13:71" ht="12.75">
      <c r="M345" s="5">
        <v>2.64E-09</v>
      </c>
      <c r="N345" s="5">
        <v>4.44052061202</v>
      </c>
      <c r="O345" s="5">
        <v>12964.300703391</v>
      </c>
      <c r="P345">
        <f t="shared" si="37"/>
        <v>-8.765246418062447E-10</v>
      </c>
      <c r="BP345" s="5">
        <v>1.07E-09</v>
      </c>
      <c r="BQ345" s="5">
        <v>6.2499898935</v>
      </c>
      <c r="BR345" s="5">
        <v>77690.7595057384</v>
      </c>
      <c r="BS345">
        <f t="shared" si="39"/>
        <v>-7.575420826520468E-10</v>
      </c>
    </row>
    <row r="346" spans="13:71" ht="12.75">
      <c r="M346" s="5">
        <v>2.57E-09</v>
      </c>
      <c r="N346" s="5">
        <v>1.79654471948</v>
      </c>
      <c r="O346" s="5">
        <v>11080.1715789176</v>
      </c>
      <c r="P346">
        <f t="shared" si="37"/>
        <v>1.7863279524566482E-09</v>
      </c>
      <c r="BP346" s="5">
        <v>1.07E-09</v>
      </c>
      <c r="BQ346" s="5">
        <v>1.00535580713</v>
      </c>
      <c r="BR346" s="5">
        <v>77736.7834305024</v>
      </c>
      <c r="BS346">
        <f t="shared" si="39"/>
        <v>-6.899932725150074E-10</v>
      </c>
    </row>
    <row r="347" spans="13:71" ht="12.75">
      <c r="M347" s="5">
        <v>2.6E-09</v>
      </c>
      <c r="N347" s="5">
        <v>3.3307759842</v>
      </c>
      <c r="O347" s="5">
        <v>5888.4499649322</v>
      </c>
      <c r="P347">
        <f t="shared" si="37"/>
        <v>2.3870364278351253E-09</v>
      </c>
      <c r="BP347" s="5">
        <v>1.43E-09</v>
      </c>
      <c r="BQ347" s="5">
        <v>0.24122178432</v>
      </c>
      <c r="BR347" s="5">
        <v>4214.0690150848</v>
      </c>
      <c r="BS347">
        <f t="shared" si="39"/>
        <v>1.4277701985979607E-09</v>
      </c>
    </row>
    <row r="348" spans="13:71" ht="12.75">
      <c r="M348" s="5">
        <v>2.85E-09</v>
      </c>
      <c r="N348" s="5">
        <v>0.3088636143</v>
      </c>
      <c r="O348" s="5">
        <v>11823.1616394502</v>
      </c>
      <c r="P348">
        <f t="shared" si="37"/>
        <v>5.84152702116708E-10</v>
      </c>
      <c r="BP348" s="5">
        <v>1.43E-09</v>
      </c>
      <c r="BQ348" s="5">
        <v>0.88529649733</v>
      </c>
      <c r="BR348" s="5">
        <v>7576.560073574</v>
      </c>
      <c r="BS348">
        <f t="shared" si="39"/>
        <v>-1.715437997429836E-10</v>
      </c>
    </row>
    <row r="349" spans="13:71" ht="12.75">
      <c r="M349" s="5">
        <v>2.9E-09</v>
      </c>
      <c r="N349" s="5">
        <v>5.70141882483</v>
      </c>
      <c r="O349" s="5">
        <v>77.673770428</v>
      </c>
      <c r="P349">
        <f t="shared" si="37"/>
        <v>2.6022461232065184E-09</v>
      </c>
      <c r="BP349" s="5">
        <v>1.07E-09</v>
      </c>
      <c r="BQ349" s="5">
        <v>2.92124030496</v>
      </c>
      <c r="BR349" s="5">
        <v>31415.379249957</v>
      </c>
      <c r="BS349">
        <f t="shared" si="39"/>
        <v>-5.671492895741787E-10</v>
      </c>
    </row>
    <row r="350" spans="13:71" ht="12.75">
      <c r="M350" s="5">
        <v>2.55E-09</v>
      </c>
      <c r="N350" s="5">
        <v>4.0093966444</v>
      </c>
      <c r="O350" s="5">
        <v>5881.4037282342</v>
      </c>
      <c r="P350">
        <f t="shared" si="37"/>
        <v>1.395028287439952E-09</v>
      </c>
      <c r="BP350" s="5">
        <v>9.9E-10</v>
      </c>
      <c r="BQ350" s="5">
        <v>5.70862227072</v>
      </c>
      <c r="BR350" s="5">
        <v>5540.0857894588</v>
      </c>
      <c r="BS350">
        <f t="shared" si="39"/>
        <v>-2.955702877014379E-10</v>
      </c>
    </row>
    <row r="351" spans="13:71" ht="12.75">
      <c r="M351" s="5">
        <v>2.53E-09</v>
      </c>
      <c r="N351" s="5">
        <v>4.73318493678</v>
      </c>
      <c r="O351" s="5">
        <v>16723.350142595</v>
      </c>
      <c r="P351">
        <f t="shared" si="37"/>
        <v>-1.5170265777130776E-09</v>
      </c>
      <c r="BP351" s="5">
        <v>1.1E-09</v>
      </c>
      <c r="BQ351" s="5">
        <v>0.37528037383</v>
      </c>
      <c r="BR351" s="5">
        <v>5863.5912061162</v>
      </c>
      <c r="BS351">
        <f t="shared" si="39"/>
        <v>-1.0626974381944045E-09</v>
      </c>
    </row>
    <row r="352" spans="13:71" ht="12.75">
      <c r="M352" s="5">
        <v>2.28E-09</v>
      </c>
      <c r="N352" s="5">
        <v>0.95333661324</v>
      </c>
      <c r="O352" s="5">
        <v>5540.0857894588</v>
      </c>
      <c r="P352">
        <f t="shared" si="37"/>
        <v>2.144821248774998E-09</v>
      </c>
      <c r="BP352" s="5">
        <v>1.04E-09</v>
      </c>
      <c r="BQ352" s="5">
        <v>4.44107178366</v>
      </c>
      <c r="BR352" s="5">
        <v>2118.7638603784</v>
      </c>
      <c r="BS352">
        <f t="shared" si="39"/>
        <v>2.1386982428129107E-10</v>
      </c>
    </row>
    <row r="353" spans="13:71" ht="12.75">
      <c r="M353" s="5">
        <v>3.19E-09</v>
      </c>
      <c r="N353" s="5">
        <v>1.38633229189</v>
      </c>
      <c r="O353" s="5">
        <v>163096.180361183</v>
      </c>
      <c r="P353">
        <f t="shared" si="37"/>
        <v>-2.625003055988631E-09</v>
      </c>
      <c r="BP353" s="5">
        <v>9.8E-10</v>
      </c>
      <c r="BQ353" s="5">
        <v>5.95877916706</v>
      </c>
      <c r="BR353" s="5">
        <v>4061.2192153944</v>
      </c>
      <c r="BS353">
        <f t="shared" si="39"/>
        <v>-8.157118145093242E-10</v>
      </c>
    </row>
    <row r="354" spans="13:71" ht="12.75">
      <c r="M354" s="5">
        <v>2.24E-09</v>
      </c>
      <c r="N354" s="5">
        <v>1.65156322696</v>
      </c>
      <c r="O354" s="5">
        <v>10027.9031957292</v>
      </c>
      <c r="P354">
        <f t="shared" si="37"/>
        <v>-1.732456048428463E-09</v>
      </c>
      <c r="BP354" s="5">
        <v>1.13E-09</v>
      </c>
      <c r="BQ354" s="5">
        <v>1.24206857385</v>
      </c>
      <c r="BR354" s="5">
        <v>84672.4758445046</v>
      </c>
      <c r="BS354">
        <f t="shared" si="39"/>
        <v>-1.0510546358951447E-09</v>
      </c>
    </row>
    <row r="355" spans="13:71" ht="12.75">
      <c r="M355" s="5">
        <v>2.26E-09</v>
      </c>
      <c r="N355" s="5">
        <v>0.34106460604</v>
      </c>
      <c r="O355" s="5">
        <v>17796.9591667858</v>
      </c>
      <c r="P355">
        <f t="shared" si="37"/>
        <v>2.0944609651587425E-09</v>
      </c>
      <c r="BP355" s="5">
        <v>1.24E-09</v>
      </c>
      <c r="BQ355" s="5">
        <v>2.55619029867</v>
      </c>
      <c r="BR355" s="5">
        <v>12539.853380183</v>
      </c>
      <c r="BS355">
        <f t="shared" si="39"/>
        <v>1.0011522547936912E-09</v>
      </c>
    </row>
    <row r="356" spans="13:71" ht="12.75">
      <c r="M356" s="5">
        <v>2.36E-09</v>
      </c>
      <c r="N356" s="5">
        <v>4.19817431922</v>
      </c>
      <c r="O356" s="5">
        <v>19.66976089979</v>
      </c>
      <c r="P356">
        <f t="shared" si="37"/>
        <v>-5.864592148874308E-10</v>
      </c>
      <c r="BP356" s="5">
        <v>1.1E-09</v>
      </c>
      <c r="BQ356" s="5">
        <v>3.66952094329</v>
      </c>
      <c r="BR356" s="5">
        <v>238004.524157236</v>
      </c>
      <c r="BS356">
        <f t="shared" si="39"/>
        <v>1.7381337329852183E-10</v>
      </c>
    </row>
    <row r="357" spans="13:71" ht="12.75">
      <c r="M357" s="5">
        <v>2.8E-09</v>
      </c>
      <c r="N357" s="5">
        <v>4.1408026897</v>
      </c>
      <c r="O357" s="5">
        <v>12539.853380183</v>
      </c>
      <c r="P357">
        <f t="shared" si="37"/>
        <v>-1.6831606486869006E-09</v>
      </c>
      <c r="BP357" s="5">
        <v>1.12E-09</v>
      </c>
      <c r="BQ357" s="5">
        <v>4.32512422943</v>
      </c>
      <c r="BR357" s="5">
        <v>97238.6275444874</v>
      </c>
      <c r="BS357">
        <f t="shared" si="39"/>
        <v>-4.741159955477927E-10</v>
      </c>
    </row>
    <row r="358" spans="13:71" ht="12.75">
      <c r="M358" s="5">
        <v>2.75E-09</v>
      </c>
      <c r="N358" s="5">
        <v>5.50306930248</v>
      </c>
      <c r="O358" s="5">
        <v>32.5325507914</v>
      </c>
      <c r="P358">
        <f t="shared" si="37"/>
        <v>2.5879647714104316E-09</v>
      </c>
      <c r="BP358" s="5">
        <v>9.7E-10</v>
      </c>
      <c r="BQ358" s="5">
        <v>3.70151541181</v>
      </c>
      <c r="BR358" s="5">
        <v>11720.0688652316</v>
      </c>
      <c r="BS358">
        <f t="shared" si="39"/>
        <v>-9.429859391665659E-10</v>
      </c>
    </row>
    <row r="359" spans="13:71" ht="12.75">
      <c r="M359" s="5">
        <v>2.23E-09</v>
      </c>
      <c r="N359" s="5">
        <v>5.23334210294</v>
      </c>
      <c r="O359" s="5">
        <v>56.8983749356</v>
      </c>
      <c r="P359">
        <f t="shared" si="37"/>
        <v>2.137631152689493E-09</v>
      </c>
      <c r="BP359" s="5">
        <v>1.2E-09</v>
      </c>
      <c r="BQ359" s="5">
        <v>1.26895630252</v>
      </c>
      <c r="BR359" s="5">
        <v>12043.574281889</v>
      </c>
      <c r="BS359">
        <f t="shared" si="39"/>
        <v>6.37521870332566E-10</v>
      </c>
    </row>
    <row r="360" spans="13:71" ht="12.75">
      <c r="M360" s="5">
        <v>2.17E-09</v>
      </c>
      <c r="N360" s="5">
        <v>6.08587881787</v>
      </c>
      <c r="O360" s="5">
        <v>6805.6532680852</v>
      </c>
      <c r="P360">
        <f t="shared" si="37"/>
        <v>-2.0868761362494956E-09</v>
      </c>
      <c r="BP360" s="5">
        <v>9.4E-10</v>
      </c>
      <c r="BQ360" s="5">
        <v>2.56461130309</v>
      </c>
      <c r="BR360" s="5">
        <v>19004.6479494084</v>
      </c>
      <c r="BS360">
        <f t="shared" si="39"/>
        <v>6.145312708503932E-10</v>
      </c>
    </row>
    <row r="361" spans="13:71" ht="12.75">
      <c r="M361" s="5">
        <v>2.8E-09</v>
      </c>
      <c r="N361" s="5">
        <v>4.52472044653</v>
      </c>
      <c r="O361" s="5">
        <v>6016.4688082696</v>
      </c>
      <c r="P361">
        <f t="shared" si="37"/>
        <v>-2.75860432314966E-09</v>
      </c>
      <c r="BP361" s="5">
        <v>1.17E-09</v>
      </c>
      <c r="BQ361" s="5">
        <v>3.65425622684</v>
      </c>
      <c r="BR361" s="5">
        <v>34520.3093093808</v>
      </c>
      <c r="BS361">
        <f t="shared" si="39"/>
        <v>1.0736361122675308E-09</v>
      </c>
    </row>
    <row r="362" spans="13:71" ht="12.75">
      <c r="M362" s="5">
        <v>2.27E-09</v>
      </c>
      <c r="N362" s="5">
        <v>5.06509843737</v>
      </c>
      <c r="O362" s="5">
        <v>6277.552925684</v>
      </c>
      <c r="P362">
        <f t="shared" si="37"/>
        <v>1.1038729261688872E-09</v>
      </c>
      <c r="BP362" s="5">
        <v>9.8E-10</v>
      </c>
      <c r="BQ362" s="5">
        <v>0.13589994287</v>
      </c>
      <c r="BR362" s="5">
        <v>11080.1715789176</v>
      </c>
      <c r="BS362">
        <f t="shared" si="39"/>
        <v>-7.628415384955995E-10</v>
      </c>
    </row>
    <row r="363" spans="13:71" ht="12.75">
      <c r="M363" s="5">
        <v>2.26E-09</v>
      </c>
      <c r="N363" s="5">
        <v>5.17755154305</v>
      </c>
      <c r="O363" s="5">
        <v>11720.0688652316</v>
      </c>
      <c r="P363">
        <f t="shared" si="37"/>
        <v>3.193896305473385E-10</v>
      </c>
      <c r="BP363" s="5">
        <v>9.7E-10</v>
      </c>
      <c r="BQ363" s="5">
        <v>5.38330115253</v>
      </c>
      <c r="BR363" s="5">
        <v>7834.1210726394</v>
      </c>
      <c r="BS363">
        <f t="shared" si="39"/>
        <v>-9.488596474966593E-10</v>
      </c>
    </row>
    <row r="364" spans="13:71" ht="12.75">
      <c r="M364" s="5">
        <v>2.45E-09</v>
      </c>
      <c r="N364" s="5">
        <v>3.96486270306</v>
      </c>
      <c r="O364" s="5">
        <v>22.7752014508</v>
      </c>
      <c r="P364">
        <f t="shared" si="37"/>
        <v>-1.049991677614739E-09</v>
      </c>
      <c r="BP364" s="5">
        <v>9.7E-10</v>
      </c>
      <c r="BQ364" s="5">
        <v>2.46722096722</v>
      </c>
      <c r="BR364" s="5">
        <v>71980.6335747311</v>
      </c>
      <c r="BS364">
        <f t="shared" si="39"/>
        <v>-7.154118697581615E-10</v>
      </c>
    </row>
    <row r="365" spans="13:71" ht="12.75">
      <c r="M365" s="5">
        <v>2.2E-09</v>
      </c>
      <c r="N365" s="5">
        <v>4.7207808197</v>
      </c>
      <c r="O365" s="5">
        <v>6.62855890001</v>
      </c>
      <c r="P365">
        <f t="shared" si="37"/>
        <v>2.1317282689262767E-10</v>
      </c>
      <c r="BP365" s="5">
        <v>9.5E-10</v>
      </c>
      <c r="BQ365" s="5">
        <v>5.36958330451</v>
      </c>
      <c r="BR365" s="5">
        <v>6288.5987742988</v>
      </c>
      <c r="BS365">
        <f t="shared" si="39"/>
        <v>5.280488239707084E-11</v>
      </c>
    </row>
    <row r="366" spans="13:71" ht="12.75">
      <c r="M366" s="5">
        <v>2.07E-09</v>
      </c>
      <c r="N366" s="5">
        <v>5.71701403951</v>
      </c>
      <c r="O366" s="5">
        <v>41.5507909848</v>
      </c>
      <c r="P366">
        <f t="shared" si="37"/>
        <v>2.0698874473022904E-09</v>
      </c>
      <c r="BP366" s="5">
        <v>1.11E-09</v>
      </c>
      <c r="BQ366" s="5">
        <v>5.01961920313</v>
      </c>
      <c r="BR366" s="5">
        <v>11823.1616394502</v>
      </c>
      <c r="BS366">
        <f t="shared" si="39"/>
        <v>1.086060661022926E-09</v>
      </c>
    </row>
    <row r="367" spans="13:71" ht="12.75">
      <c r="M367" s="5">
        <v>2.04E-09</v>
      </c>
      <c r="N367" s="5">
        <v>3.9122741125</v>
      </c>
      <c r="O367" s="5">
        <v>2699.7348193176</v>
      </c>
      <c r="P367">
        <f t="shared" si="37"/>
        <v>-1.3926299021557166E-09</v>
      </c>
      <c r="BP367" s="5">
        <v>9E-10</v>
      </c>
      <c r="BQ367" s="5">
        <v>2.72299804525</v>
      </c>
      <c r="BR367" s="5">
        <v>26880.3198130326</v>
      </c>
      <c r="BS367">
        <f t="shared" si="39"/>
        <v>-5.125378568494579E-10</v>
      </c>
    </row>
    <row r="368" spans="13:71" ht="12.75">
      <c r="M368" s="5">
        <v>2.09E-09</v>
      </c>
      <c r="N368" s="5">
        <v>0.86881969011</v>
      </c>
      <c r="O368" s="5">
        <v>6321.1035226272</v>
      </c>
      <c r="P368">
        <f t="shared" si="37"/>
        <v>-1.7357764536131287E-09</v>
      </c>
      <c r="BP368" s="5">
        <v>9.9E-10</v>
      </c>
      <c r="BQ368" s="5">
        <v>0.90164266377</v>
      </c>
      <c r="BR368" s="5">
        <v>18635.9284545362</v>
      </c>
      <c r="BS368">
        <f t="shared" si="39"/>
        <v>3.865459994725429E-10</v>
      </c>
    </row>
    <row r="369" spans="13:71" ht="12.75">
      <c r="M369" s="5">
        <v>2E-09</v>
      </c>
      <c r="N369" s="5">
        <v>2.11984445273</v>
      </c>
      <c r="O369" s="5">
        <v>4274.5183108324</v>
      </c>
      <c r="P369">
        <f t="shared" si="37"/>
        <v>-1.843205002652437E-09</v>
      </c>
      <c r="BP369" s="5">
        <v>1.26E-09</v>
      </c>
      <c r="BQ369" s="5">
        <v>4.78722177847</v>
      </c>
      <c r="BR369" s="5">
        <v>305281.943071048</v>
      </c>
      <c r="BS369">
        <f t="shared" si="39"/>
        <v>-9.387551197599916E-10</v>
      </c>
    </row>
    <row r="370" spans="13:71" ht="12.75">
      <c r="M370" s="5">
        <v>2E-09</v>
      </c>
      <c r="N370" s="5">
        <v>5.39839888163</v>
      </c>
      <c r="O370" s="5">
        <v>6019.9919266186</v>
      </c>
      <c r="P370">
        <f t="shared" si="37"/>
        <v>-9.197049325809098E-10</v>
      </c>
      <c r="BP370" s="5">
        <v>9.3E-10</v>
      </c>
      <c r="BQ370" s="5">
        <v>0.21240380046</v>
      </c>
      <c r="BR370" s="5">
        <v>18139.2945014159</v>
      </c>
      <c r="BS370">
        <f t="shared" si="39"/>
        <v>-5.609161673114412E-10</v>
      </c>
    </row>
    <row r="371" spans="13:71" ht="12.75">
      <c r="M371" s="5">
        <v>2.09E-09</v>
      </c>
      <c r="N371" s="5">
        <v>5.67606291663</v>
      </c>
      <c r="O371" s="5">
        <v>11293.4706743556</v>
      </c>
      <c r="P371">
        <f t="shared" si="37"/>
        <v>1.961082823689578E-09</v>
      </c>
      <c r="BP371" s="5">
        <v>1.24E-09</v>
      </c>
      <c r="BQ371" s="5">
        <v>5.00979495566</v>
      </c>
      <c r="BR371" s="5">
        <v>172146.97134054</v>
      </c>
      <c r="BS371">
        <f t="shared" si="39"/>
        <v>2.3777594953603338E-11</v>
      </c>
    </row>
    <row r="372" spans="13:71" ht="12.75">
      <c r="M372" s="5">
        <v>2.52E-09</v>
      </c>
      <c r="N372" s="5">
        <v>1.64965729351</v>
      </c>
      <c r="O372" s="5">
        <v>9380.9596727172</v>
      </c>
      <c r="P372">
        <f t="shared" si="37"/>
        <v>2.8723933941085766E-10</v>
      </c>
      <c r="BP372" s="5">
        <v>9.9E-10</v>
      </c>
      <c r="BQ372" s="5">
        <v>5.67090026475</v>
      </c>
      <c r="BR372" s="5">
        <v>16522.6597160022</v>
      </c>
      <c r="BS372">
        <f t="shared" si="39"/>
        <v>8.838637335048308E-10</v>
      </c>
    </row>
    <row r="373" spans="13:71" ht="12.75">
      <c r="M373" s="5">
        <v>2.75E-09</v>
      </c>
      <c r="N373" s="5">
        <v>5.04826903506</v>
      </c>
      <c r="O373" s="5">
        <v>73.297125859</v>
      </c>
      <c r="P373">
        <f t="shared" si="37"/>
        <v>2.661375527942153E-09</v>
      </c>
      <c r="BP373" s="5">
        <v>9.2E-10</v>
      </c>
      <c r="BQ373" s="5">
        <v>2.28180963676</v>
      </c>
      <c r="BR373" s="5">
        <v>12491.3701014155</v>
      </c>
      <c r="BS373">
        <f t="shared" si="39"/>
        <v>8.811228568596125E-10</v>
      </c>
    </row>
    <row r="374" spans="13:71" ht="12.75">
      <c r="M374" s="5">
        <v>2.08E-09</v>
      </c>
      <c r="N374" s="5">
        <v>1.88207277133</v>
      </c>
      <c r="O374" s="5">
        <v>11300.5842213564</v>
      </c>
      <c r="P374">
        <f t="shared" si="37"/>
        <v>-1.276067061191187E-09</v>
      </c>
      <c r="BP374" s="5">
        <v>9E-10</v>
      </c>
      <c r="BQ374" s="5">
        <v>4.50544881196</v>
      </c>
      <c r="BR374" s="5">
        <v>40077.61957352</v>
      </c>
      <c r="BS374">
        <f t="shared" si="39"/>
        <v>8.836574146741357E-10</v>
      </c>
    </row>
    <row r="375" spans="13:71" ht="12.75">
      <c r="M375" s="5">
        <v>2.72E-09</v>
      </c>
      <c r="N375" s="5">
        <v>0.74640926842</v>
      </c>
      <c r="O375" s="5">
        <v>1975.492545856</v>
      </c>
      <c r="P375">
        <f t="shared" si="37"/>
        <v>-1.2200575065514035E-09</v>
      </c>
      <c r="BP375" s="5">
        <v>1E-09</v>
      </c>
      <c r="BQ375" s="5">
        <v>2.00639461612</v>
      </c>
      <c r="BR375" s="5">
        <v>12323.4230960088</v>
      </c>
      <c r="BS375">
        <f t="shared" si="39"/>
        <v>-9.466459030859817E-10</v>
      </c>
    </row>
    <row r="376" spans="13:71" ht="12.75">
      <c r="M376" s="5">
        <v>1.99E-09</v>
      </c>
      <c r="N376" s="5">
        <v>3.30836672397</v>
      </c>
      <c r="O376" s="5">
        <v>22743.4093795164</v>
      </c>
      <c r="P376">
        <f t="shared" si="37"/>
        <v>1.8524815219792715E-09</v>
      </c>
      <c r="BP376" s="5">
        <v>9.5E-10</v>
      </c>
      <c r="BQ376" s="5">
        <v>5.68801979087</v>
      </c>
      <c r="BR376" s="5">
        <v>14919.0178537546</v>
      </c>
      <c r="BS376">
        <f t="shared" si="39"/>
        <v>-4.916797214618984E-10</v>
      </c>
    </row>
    <row r="377" spans="13:71" ht="12.75">
      <c r="M377" s="5">
        <v>2.69E-09</v>
      </c>
      <c r="N377" s="5">
        <v>4.48560812155</v>
      </c>
      <c r="O377" s="5">
        <v>64471.9912417448</v>
      </c>
      <c r="P377">
        <f t="shared" si="37"/>
        <v>2.585851677608736E-09</v>
      </c>
      <c r="BP377" s="5">
        <v>8.7E-10</v>
      </c>
      <c r="BQ377" s="5">
        <v>1.86043406047</v>
      </c>
      <c r="BR377" s="5">
        <v>27707.5424942948</v>
      </c>
      <c r="BS377">
        <f t="shared" si="39"/>
        <v>-1.479644508540893E-10</v>
      </c>
    </row>
    <row r="378" spans="13:71" ht="12.75">
      <c r="M378" s="5">
        <v>1.92E-09</v>
      </c>
      <c r="N378" s="5">
        <v>2.17464236325</v>
      </c>
      <c r="O378" s="5">
        <v>5863.5912061162</v>
      </c>
      <c r="P378">
        <f t="shared" si="37"/>
        <v>9.031535525402223E-10</v>
      </c>
      <c r="BP378" s="5">
        <v>1.05E-09</v>
      </c>
      <c r="BQ378" s="5">
        <v>3.02903468417</v>
      </c>
      <c r="BR378" s="5">
        <v>22345.2603761082</v>
      </c>
      <c r="BS378">
        <f t="shared" si="39"/>
        <v>1.001646992064362E-09</v>
      </c>
    </row>
    <row r="379" spans="13:71" ht="12.75">
      <c r="M379" s="5">
        <v>2.28E-09</v>
      </c>
      <c r="N379" s="5">
        <v>5.85373115869</v>
      </c>
      <c r="O379" s="5">
        <v>128.0188433374</v>
      </c>
      <c r="P379">
        <f t="shared" si="37"/>
        <v>6.475885060351857E-10</v>
      </c>
      <c r="BP379" s="5">
        <v>8.7E-10</v>
      </c>
      <c r="BQ379" s="5">
        <v>5.43970168638</v>
      </c>
      <c r="BR379" s="5">
        <v>6272.0301497275</v>
      </c>
      <c r="BS379">
        <f t="shared" si="39"/>
        <v>1.7889196080733082E-10</v>
      </c>
    </row>
    <row r="380" spans="13:71" ht="12.75">
      <c r="M380" s="5">
        <v>2.61E-09</v>
      </c>
      <c r="N380" s="5">
        <v>2.64321183295</v>
      </c>
      <c r="O380" s="5">
        <v>55022.9357470744</v>
      </c>
      <c r="P380">
        <f t="shared" si="37"/>
        <v>-2.491623539738443E-09</v>
      </c>
      <c r="BP380" s="5">
        <v>8.9E-10</v>
      </c>
      <c r="BQ380" s="5">
        <v>1.63389387182</v>
      </c>
      <c r="BR380" s="5">
        <v>33326.5787331742</v>
      </c>
      <c r="BS380">
        <f t="shared" si="39"/>
        <v>2.622333367233918E-10</v>
      </c>
    </row>
    <row r="381" spans="13:71" ht="12.75">
      <c r="M381" s="5">
        <v>2.2E-09</v>
      </c>
      <c r="N381" s="5">
        <v>5.75012110079</v>
      </c>
      <c r="O381" s="5">
        <v>29.429508536</v>
      </c>
      <c r="P381">
        <f t="shared" si="37"/>
        <v>2.178645648216667E-09</v>
      </c>
      <c r="BP381" s="5">
        <v>8.2E-10</v>
      </c>
      <c r="BQ381" s="5">
        <v>5.58298993353</v>
      </c>
      <c r="BR381" s="5">
        <v>10241.2022911672</v>
      </c>
      <c r="BS381">
        <f t="shared" si="39"/>
        <v>-3.065081328043989E-10</v>
      </c>
    </row>
    <row r="382" spans="13:71" ht="12.75">
      <c r="M382" s="5">
        <v>1.87E-09</v>
      </c>
      <c r="N382" s="5">
        <v>4.03230554718</v>
      </c>
      <c r="O382" s="5">
        <v>467.9649903544</v>
      </c>
      <c r="P382">
        <f t="shared" si="37"/>
        <v>-1.2107165033535698E-09</v>
      </c>
      <c r="BP382" s="5">
        <v>9.4E-10</v>
      </c>
      <c r="BQ382" s="5">
        <v>5.47749711149</v>
      </c>
      <c r="BR382" s="5">
        <v>9924.8104215106</v>
      </c>
      <c r="BS382">
        <f t="shared" si="39"/>
        <v>9.399703191895187E-10</v>
      </c>
    </row>
    <row r="383" spans="13:71" ht="12.75">
      <c r="M383" s="5">
        <v>2E-09</v>
      </c>
      <c r="N383" s="5">
        <v>5.60556112058</v>
      </c>
      <c r="O383" s="5">
        <v>1066.49547719</v>
      </c>
      <c r="P383">
        <f t="shared" si="37"/>
        <v>1.0460267018671465E-09</v>
      </c>
      <c r="BP383" s="5">
        <v>8.2E-10</v>
      </c>
      <c r="BQ383" s="5">
        <v>4.71988314145</v>
      </c>
      <c r="BR383" s="5">
        <v>15141.390794312</v>
      </c>
      <c r="BS383">
        <f t="shared" si="39"/>
        <v>8.151619046402789E-10</v>
      </c>
    </row>
    <row r="384" spans="13:71" ht="12.75">
      <c r="M384" s="5">
        <v>2.31E-09</v>
      </c>
      <c r="N384" s="5">
        <v>1.09802712785</v>
      </c>
      <c r="O384" s="5">
        <v>12341.8069042809</v>
      </c>
      <c r="P384">
        <f t="shared" si="37"/>
        <v>-2.182080097073243E-09</v>
      </c>
      <c r="BP384" s="5">
        <v>9.7E-10</v>
      </c>
      <c r="BQ384" s="5">
        <v>5.61458778738</v>
      </c>
      <c r="BR384" s="5">
        <v>2787.0430238574</v>
      </c>
      <c r="BS384">
        <f t="shared" si="39"/>
        <v>4.47813797668651E-10</v>
      </c>
    </row>
    <row r="385" spans="13:71" ht="12.75">
      <c r="M385" s="5">
        <v>1.99E-09</v>
      </c>
      <c r="N385" s="5">
        <v>0.295006252</v>
      </c>
      <c r="O385" s="5">
        <v>149.5631971346</v>
      </c>
      <c r="P385">
        <f t="shared" si="37"/>
        <v>-1.3190765640022178E-09</v>
      </c>
      <c r="BP385" s="5">
        <v>9.6E-10</v>
      </c>
      <c r="BQ385" s="5">
        <v>3.89073946348</v>
      </c>
      <c r="BR385" s="5">
        <v>6379.0550772092</v>
      </c>
      <c r="BS385">
        <f t="shared" si="39"/>
        <v>3.0617329744760974E-10</v>
      </c>
    </row>
    <row r="386" spans="13:71" ht="12.75">
      <c r="M386" s="5">
        <v>2.49E-09</v>
      </c>
      <c r="N386" s="5">
        <v>5.10473210814</v>
      </c>
      <c r="O386" s="5">
        <v>7875.6718636242</v>
      </c>
      <c r="P386">
        <f aca="true" t="shared" si="40" ref="P386:P449">M386*COS(N386+O386*$E$16)</f>
        <v>-2.2012908813945394E-09</v>
      </c>
      <c r="BP386" s="5">
        <v>8.1E-10</v>
      </c>
      <c r="BQ386" s="5">
        <v>3.13038482444</v>
      </c>
      <c r="BR386" s="5">
        <v>36147.4098773004</v>
      </c>
      <c r="BS386">
        <f aca="true" t="shared" si="41" ref="BS386:BS449">BP386*COS(BQ386+BR386*$E$16)</f>
        <v>-7.62599182031781E-10</v>
      </c>
    </row>
    <row r="387" spans="13:71" ht="12.75">
      <c r="M387" s="5">
        <v>2.08E-09</v>
      </c>
      <c r="N387" s="5">
        <v>0.93013835019</v>
      </c>
      <c r="O387" s="5">
        <v>14919.0178537546</v>
      </c>
      <c r="P387">
        <f t="shared" si="40"/>
        <v>1.7289506263648212E-09</v>
      </c>
      <c r="BP387" s="5">
        <v>1.1E-09</v>
      </c>
      <c r="BQ387" s="5">
        <v>4.89978492291</v>
      </c>
      <c r="BR387" s="5">
        <v>72140.6286666873</v>
      </c>
      <c r="BS387">
        <f t="shared" si="41"/>
        <v>-6.224615376509802E-10</v>
      </c>
    </row>
    <row r="388" spans="13:71" ht="12.75">
      <c r="M388" s="5">
        <v>1.79E-09</v>
      </c>
      <c r="N388" s="5">
        <v>0.87104393079</v>
      </c>
      <c r="O388" s="5">
        <v>12721.572099417</v>
      </c>
      <c r="P388">
        <f t="shared" si="40"/>
        <v>3.4570523804502043E-10</v>
      </c>
      <c r="BP388" s="5">
        <v>9.7E-10</v>
      </c>
      <c r="BQ388" s="5">
        <v>5.20764563059</v>
      </c>
      <c r="BR388" s="5">
        <v>6303.4311693902</v>
      </c>
      <c r="BS388">
        <f t="shared" si="41"/>
        <v>1.8590560278101564E-11</v>
      </c>
    </row>
    <row r="389" spans="13:71" ht="12.75">
      <c r="M389" s="5">
        <v>2.03E-09</v>
      </c>
      <c r="N389" s="5">
        <v>1.56920753653</v>
      </c>
      <c r="O389" s="5">
        <v>28286.9904848612</v>
      </c>
      <c r="P389">
        <f t="shared" si="40"/>
        <v>-1.979207582045565E-09</v>
      </c>
      <c r="BP389" s="5">
        <v>8.2E-10</v>
      </c>
      <c r="BQ389" s="5">
        <v>5.26342716139</v>
      </c>
      <c r="BR389" s="5">
        <v>9814.6041002912</v>
      </c>
      <c r="BS389">
        <f t="shared" si="41"/>
        <v>-1.0242300129680228E-10</v>
      </c>
    </row>
    <row r="390" spans="13:71" ht="12.75">
      <c r="M390" s="5">
        <v>1.79E-09</v>
      </c>
      <c r="N390" s="5">
        <v>2.47036386443</v>
      </c>
      <c r="O390" s="5">
        <v>16062.1845261168</v>
      </c>
      <c r="P390">
        <f t="shared" si="40"/>
        <v>-1.5420086960548122E-09</v>
      </c>
      <c r="BP390" s="5">
        <v>1.09E-09</v>
      </c>
      <c r="BQ390" s="5">
        <v>2.3555558977</v>
      </c>
      <c r="BR390" s="5">
        <v>83286.9142695535</v>
      </c>
      <c r="BS390">
        <f t="shared" si="41"/>
        <v>-5.375184646583607E-10</v>
      </c>
    </row>
    <row r="391" spans="13:71" ht="12.75">
      <c r="M391" s="5">
        <v>1.98E-09</v>
      </c>
      <c r="N391" s="5">
        <v>3.54061588502</v>
      </c>
      <c r="O391" s="5">
        <v>30.914125635</v>
      </c>
      <c r="P391">
        <f t="shared" si="40"/>
        <v>-1.3616165852005966E-09</v>
      </c>
      <c r="BP391" s="5">
        <v>9.7E-10</v>
      </c>
      <c r="BQ391" s="5">
        <v>2.58492958057</v>
      </c>
      <c r="BR391" s="5">
        <v>30666.1549584328</v>
      </c>
      <c r="BS391">
        <f t="shared" si="41"/>
        <v>-3.541783485811849E-10</v>
      </c>
    </row>
    <row r="392" spans="13:71" ht="12.75">
      <c r="M392" s="5">
        <v>1.71E-09</v>
      </c>
      <c r="N392" s="5">
        <v>3.45356518113</v>
      </c>
      <c r="O392" s="5">
        <v>5327.4761083828</v>
      </c>
      <c r="P392">
        <f t="shared" si="40"/>
        <v>1.3193660465711572E-09</v>
      </c>
      <c r="BP392" s="5">
        <v>9.3E-10</v>
      </c>
      <c r="BQ392" s="5">
        <v>1.32651591333</v>
      </c>
      <c r="BR392" s="5">
        <v>23020.6530865879</v>
      </c>
      <c r="BS392">
        <f t="shared" si="41"/>
        <v>2.01541701807483E-10</v>
      </c>
    </row>
    <row r="393" spans="13:71" ht="12.75">
      <c r="M393" s="5">
        <v>1.83E-09</v>
      </c>
      <c r="N393" s="5">
        <v>0.72325421604</v>
      </c>
      <c r="O393" s="5">
        <v>6272.0301497275</v>
      </c>
      <c r="P393">
        <f t="shared" si="40"/>
        <v>-1.7893533496978777E-09</v>
      </c>
      <c r="BP393" s="5">
        <v>7.8E-10</v>
      </c>
      <c r="BQ393" s="5">
        <v>3.99588630754</v>
      </c>
      <c r="BR393" s="5">
        <v>11293.4706743556</v>
      </c>
      <c r="BS393">
        <f t="shared" si="41"/>
        <v>-3.4798790858112133E-10</v>
      </c>
    </row>
    <row r="394" spans="13:71" ht="12.75">
      <c r="M394" s="5">
        <v>2.16E-09</v>
      </c>
      <c r="N394" s="5">
        <v>2.97174580686</v>
      </c>
      <c r="O394" s="5">
        <v>19402.7969528166</v>
      </c>
      <c r="P394">
        <f t="shared" si="40"/>
        <v>3.478420167286665E-10</v>
      </c>
      <c r="BP394" s="5">
        <v>9E-10</v>
      </c>
      <c r="BQ394" s="5">
        <v>0.57771932738</v>
      </c>
      <c r="BR394" s="5">
        <v>26482.1708096244</v>
      </c>
      <c r="BS394">
        <f t="shared" si="41"/>
        <v>-8.778272851280057E-10</v>
      </c>
    </row>
    <row r="395" spans="13:71" ht="12.75">
      <c r="M395" s="5">
        <v>1.68E-09</v>
      </c>
      <c r="N395" s="5">
        <v>2.51550550242</v>
      </c>
      <c r="O395" s="5">
        <v>23937.856389741</v>
      </c>
      <c r="P395">
        <f t="shared" si="40"/>
        <v>-1.0456192818156261E-09</v>
      </c>
      <c r="BP395" s="5">
        <v>1.06E-09</v>
      </c>
      <c r="BQ395" s="5">
        <v>3.92012705073</v>
      </c>
      <c r="BR395" s="5">
        <v>62883.3551395136</v>
      </c>
      <c r="BS395">
        <f t="shared" si="41"/>
        <v>-1.0545378138933809E-09</v>
      </c>
    </row>
    <row r="396" spans="13:71" ht="12.75">
      <c r="M396" s="5">
        <v>1.95E-09</v>
      </c>
      <c r="N396" s="5">
        <v>0.09045393425</v>
      </c>
      <c r="O396" s="5">
        <v>156.4007205024</v>
      </c>
      <c r="P396">
        <f t="shared" si="40"/>
        <v>-1.119522677060119E-09</v>
      </c>
      <c r="BP396" s="5">
        <v>9.8E-10</v>
      </c>
      <c r="BQ396" s="5">
        <v>2.94397773524</v>
      </c>
      <c r="BR396" s="5">
        <v>316.3918696566</v>
      </c>
      <c r="BS396">
        <f t="shared" si="41"/>
        <v>6.1488519070402E-10</v>
      </c>
    </row>
    <row r="397" spans="13:71" ht="12.75">
      <c r="M397" s="5">
        <v>1.79E-09</v>
      </c>
      <c r="N397" s="5">
        <v>4.4947179809</v>
      </c>
      <c r="O397" s="5">
        <v>31415.379249957</v>
      </c>
      <c r="P397">
        <f t="shared" si="40"/>
        <v>-1.5153147693738507E-09</v>
      </c>
      <c r="BP397" s="5">
        <v>7.6E-10</v>
      </c>
      <c r="BQ397" s="5">
        <v>3.96310417608</v>
      </c>
      <c r="BR397" s="5">
        <v>29026.4852295077</v>
      </c>
      <c r="BS397">
        <f t="shared" si="41"/>
        <v>-6.648090673276153E-10</v>
      </c>
    </row>
    <row r="398" spans="13:71" ht="12.75">
      <c r="M398" s="5">
        <v>2.16E-09</v>
      </c>
      <c r="N398" s="5">
        <v>0.42177594328</v>
      </c>
      <c r="O398" s="5">
        <v>23539.7073863328</v>
      </c>
      <c r="P398">
        <f t="shared" si="40"/>
        <v>9.666685418995362E-10</v>
      </c>
      <c r="BP398" s="5">
        <v>7.8E-10</v>
      </c>
      <c r="BQ398" s="5">
        <v>1.97068529306</v>
      </c>
      <c r="BR398" s="5">
        <v>90279.9231681032</v>
      </c>
      <c r="BS398">
        <f t="shared" si="41"/>
        <v>-7.79180484674084E-10</v>
      </c>
    </row>
    <row r="399" spans="13:71" ht="12.75">
      <c r="M399" s="5">
        <v>1.89E-09</v>
      </c>
      <c r="N399" s="5">
        <v>0.37542530191</v>
      </c>
      <c r="O399" s="5">
        <v>9814.6041002912</v>
      </c>
      <c r="P399">
        <f t="shared" si="40"/>
        <v>1.8051127613879794E-09</v>
      </c>
      <c r="BP399" s="5">
        <v>7.6E-10</v>
      </c>
      <c r="BQ399" s="5">
        <v>0.23027966596</v>
      </c>
      <c r="BR399" s="5">
        <v>21424.4666443034</v>
      </c>
      <c r="BS399">
        <f t="shared" si="41"/>
        <v>-4.734806530275384E-10</v>
      </c>
    </row>
    <row r="400" spans="13:71" ht="12.75">
      <c r="M400" s="5">
        <v>2.18E-09</v>
      </c>
      <c r="N400" s="5">
        <v>2.36835880025</v>
      </c>
      <c r="O400" s="5">
        <v>16627.3709153772</v>
      </c>
      <c r="P400">
        <f t="shared" si="40"/>
        <v>2.9570031115357105E-10</v>
      </c>
      <c r="BP400" s="5">
        <v>8E-10</v>
      </c>
      <c r="BQ400" s="5">
        <v>2.23099742212</v>
      </c>
      <c r="BR400" s="5">
        <v>266.6070417218</v>
      </c>
      <c r="BS400">
        <f t="shared" si="41"/>
        <v>7.072504599955357E-10</v>
      </c>
    </row>
    <row r="401" spans="13:71" ht="12.75">
      <c r="M401" s="5">
        <v>1.66E-09</v>
      </c>
      <c r="N401" s="5">
        <v>4.23182968446</v>
      </c>
      <c r="O401" s="5">
        <v>16840.6700108151</v>
      </c>
      <c r="P401">
        <f t="shared" si="40"/>
        <v>-1.6437526733427327E-09</v>
      </c>
      <c r="BP401" s="5">
        <v>7.9E-10</v>
      </c>
      <c r="BQ401" s="5">
        <v>1.46227790922</v>
      </c>
      <c r="BR401" s="5">
        <v>8982.810669309</v>
      </c>
      <c r="BS401">
        <f t="shared" si="41"/>
        <v>-4.820618034698527E-10</v>
      </c>
    </row>
    <row r="402" spans="13:71" ht="12.75">
      <c r="M402" s="5">
        <v>2E-09</v>
      </c>
      <c r="N402" s="5">
        <v>2.02153258098</v>
      </c>
      <c r="O402" s="5">
        <v>16097.6799502826</v>
      </c>
      <c r="P402">
        <f t="shared" si="40"/>
        <v>-1.69601192756726E-09</v>
      </c>
      <c r="BP402" s="5">
        <v>1.02E-09</v>
      </c>
      <c r="BQ402" s="5">
        <v>4.92129953565</v>
      </c>
      <c r="BR402" s="5">
        <v>5621.8429232104</v>
      </c>
      <c r="BS402">
        <f t="shared" si="41"/>
        <v>3.0622572760731905E-12</v>
      </c>
    </row>
    <row r="403" spans="13:71" ht="12.75">
      <c r="M403" s="5">
        <v>1.69E-09</v>
      </c>
      <c r="N403" s="5">
        <v>0.91318727</v>
      </c>
      <c r="O403" s="5">
        <v>95.9792272178</v>
      </c>
      <c r="P403">
        <f t="shared" si="40"/>
        <v>-9.903432095251462E-10</v>
      </c>
      <c r="BP403" s="5">
        <v>1E-09</v>
      </c>
      <c r="BQ403" s="5">
        <v>0.39243148321</v>
      </c>
      <c r="BR403" s="5">
        <v>24279.1070182135</v>
      </c>
      <c r="BS403">
        <f t="shared" si="41"/>
        <v>-2.8629894574135952E-11</v>
      </c>
    </row>
    <row r="404" spans="13:71" ht="12.75">
      <c r="M404" s="5">
        <v>2.11E-09</v>
      </c>
      <c r="N404" s="5">
        <v>5.73370637657</v>
      </c>
      <c r="O404" s="5">
        <v>151.8972810852</v>
      </c>
      <c r="P404">
        <f t="shared" si="40"/>
        <v>1.8679531127901893E-10</v>
      </c>
      <c r="BP404" s="5">
        <v>7.1E-10</v>
      </c>
      <c r="BQ404" s="5">
        <v>1.52014858474</v>
      </c>
      <c r="BR404" s="5">
        <v>33794.5437235286</v>
      </c>
      <c r="BS404">
        <f t="shared" si="41"/>
        <v>3.004680696605456E-10</v>
      </c>
    </row>
    <row r="405" spans="13:71" ht="12.75">
      <c r="M405" s="5">
        <v>2.04E-09</v>
      </c>
      <c r="N405" s="5">
        <v>0.42643085174</v>
      </c>
      <c r="O405" s="5">
        <v>515.463871093</v>
      </c>
      <c r="P405">
        <f t="shared" si="40"/>
        <v>1.0369261336418744E-09</v>
      </c>
      <c r="BP405" s="5">
        <v>7.6E-10</v>
      </c>
      <c r="BQ405" s="5">
        <v>0.22880641443</v>
      </c>
      <c r="BR405" s="5">
        <v>57375.8019008462</v>
      </c>
      <c r="BS405">
        <f t="shared" si="41"/>
        <v>3.560318562426036E-10</v>
      </c>
    </row>
    <row r="406" spans="13:71" ht="12.75">
      <c r="M406" s="5">
        <v>2.12E-09</v>
      </c>
      <c r="N406" s="5">
        <v>3.00233538977</v>
      </c>
      <c r="O406" s="5">
        <v>12043.574281889</v>
      </c>
      <c r="P406">
        <f t="shared" si="40"/>
        <v>1.590076657135346E-09</v>
      </c>
      <c r="BP406" s="5">
        <v>9.1E-10</v>
      </c>
      <c r="BQ406" s="5">
        <v>0.96515913904</v>
      </c>
      <c r="BR406" s="5">
        <v>48739.859897083</v>
      </c>
      <c r="BS406">
        <f t="shared" si="41"/>
        <v>7.566390080500667E-10</v>
      </c>
    </row>
    <row r="407" spans="13:71" ht="12.75">
      <c r="M407" s="5">
        <v>1.92E-09</v>
      </c>
      <c r="N407" s="5">
        <v>5.46153589821</v>
      </c>
      <c r="O407" s="5">
        <v>6379.0550772092</v>
      </c>
      <c r="P407">
        <f t="shared" si="40"/>
        <v>-1.8197340158017786E-09</v>
      </c>
      <c r="BP407" s="5">
        <v>7.5E-10</v>
      </c>
      <c r="BQ407" s="5">
        <v>2.77638585157</v>
      </c>
      <c r="BR407" s="5">
        <v>12964.300703391</v>
      </c>
      <c r="BS407">
        <f t="shared" si="41"/>
        <v>7.275843357860736E-10</v>
      </c>
    </row>
    <row r="408" spans="13:71" ht="12.75">
      <c r="M408" s="5">
        <v>1.65E-09</v>
      </c>
      <c r="N408" s="5">
        <v>1.38698167064</v>
      </c>
      <c r="O408" s="5">
        <v>4171.4255366138</v>
      </c>
      <c r="P408">
        <f t="shared" si="40"/>
        <v>1.3320255199076218E-09</v>
      </c>
      <c r="BP408" s="5">
        <v>7.7E-10</v>
      </c>
      <c r="BQ408" s="5">
        <v>5.18846946344</v>
      </c>
      <c r="BR408" s="5">
        <v>11520.9968637952</v>
      </c>
      <c r="BS408">
        <f t="shared" si="41"/>
        <v>-4.547073470702724E-10</v>
      </c>
    </row>
    <row r="409" spans="13:71" ht="12.75">
      <c r="M409" s="5">
        <v>1.6E-09</v>
      </c>
      <c r="N409" s="5">
        <v>6.23798383332</v>
      </c>
      <c r="O409" s="5">
        <v>202.2533951741</v>
      </c>
      <c r="P409">
        <f t="shared" si="40"/>
        <v>-1.4179715997318259E-09</v>
      </c>
      <c r="BP409" s="5">
        <v>6.8E-10</v>
      </c>
      <c r="BQ409" s="5">
        <v>0.50006599129</v>
      </c>
      <c r="BR409" s="5">
        <v>4274.5183108324</v>
      </c>
      <c r="BS409">
        <f t="shared" si="41"/>
        <v>2.942996150653027E-10</v>
      </c>
    </row>
    <row r="410" spans="13:71" ht="12.75">
      <c r="M410" s="5">
        <v>2.15E-09</v>
      </c>
      <c r="N410" s="5">
        <v>0.20889073407</v>
      </c>
      <c r="O410" s="5">
        <v>5621.8429232104</v>
      </c>
      <c r="P410">
        <f t="shared" si="40"/>
        <v>2.149990438217625E-09</v>
      </c>
      <c r="BP410" s="5">
        <v>7.5E-10</v>
      </c>
      <c r="BQ410" s="5">
        <v>2.07323762803</v>
      </c>
      <c r="BR410" s="5">
        <v>15664.0355227085</v>
      </c>
      <c r="BS410">
        <f t="shared" si="41"/>
        <v>-3.44555711175769E-10</v>
      </c>
    </row>
    <row r="411" spans="13:71" ht="12.75">
      <c r="M411" s="5">
        <v>1.81E-09</v>
      </c>
      <c r="N411" s="5">
        <v>4.12439203622</v>
      </c>
      <c r="O411" s="5">
        <v>13341.6743113068</v>
      </c>
      <c r="P411">
        <f t="shared" si="40"/>
        <v>1.6956844698661278E-09</v>
      </c>
      <c r="BP411" s="5">
        <v>7.4E-10</v>
      </c>
      <c r="BQ411" s="5">
        <v>1.01884134928</v>
      </c>
      <c r="BR411" s="5">
        <v>6393.2821712108</v>
      </c>
      <c r="BS411">
        <f t="shared" si="41"/>
        <v>9.987654896994473E-11</v>
      </c>
    </row>
    <row r="412" spans="13:71" ht="12.75">
      <c r="M412" s="5">
        <v>1.53E-09</v>
      </c>
      <c r="N412" s="5">
        <v>1.24460848836</v>
      </c>
      <c r="O412" s="5">
        <v>29826.3063546732</v>
      </c>
      <c r="P412">
        <f t="shared" si="40"/>
        <v>-5.685387446921471E-10</v>
      </c>
      <c r="BP412" s="5">
        <v>7.7E-10</v>
      </c>
      <c r="BQ412" s="5">
        <v>0.4666517878</v>
      </c>
      <c r="BR412" s="5">
        <v>16207.886271502</v>
      </c>
      <c r="BS412">
        <f t="shared" si="41"/>
        <v>-6.837961204562668E-10</v>
      </c>
    </row>
    <row r="413" spans="13:71" ht="12.75">
      <c r="M413" s="5">
        <v>1.5E-09</v>
      </c>
      <c r="N413" s="5">
        <v>3.12999753018</v>
      </c>
      <c r="O413" s="5">
        <v>799.8211251654</v>
      </c>
      <c r="P413">
        <f t="shared" si="40"/>
        <v>4.569282378425711E-10</v>
      </c>
      <c r="BP413" s="5">
        <v>8.1E-10</v>
      </c>
      <c r="BQ413" s="5">
        <v>4.10452219483</v>
      </c>
      <c r="BR413" s="5">
        <v>161710.618786232</v>
      </c>
      <c r="BS413">
        <f t="shared" si="41"/>
        <v>6.142201218373347E-10</v>
      </c>
    </row>
    <row r="414" spans="13:71" ht="12.75">
      <c r="M414" s="5">
        <v>1.75E-09</v>
      </c>
      <c r="N414" s="5">
        <v>4.55671604437</v>
      </c>
      <c r="O414" s="5">
        <v>239424.390254352</v>
      </c>
      <c r="P414">
        <f t="shared" si="40"/>
        <v>-1.3372517465105134E-09</v>
      </c>
      <c r="BP414" s="5">
        <v>6.7E-10</v>
      </c>
      <c r="BQ414" s="5">
        <v>3.83840630887</v>
      </c>
      <c r="BR414" s="5">
        <v>6262.7205305926</v>
      </c>
      <c r="BS414">
        <f t="shared" si="41"/>
        <v>6.265501152460716E-10</v>
      </c>
    </row>
    <row r="415" spans="13:71" ht="12.75">
      <c r="M415" s="5">
        <v>1.92E-09</v>
      </c>
      <c r="N415" s="5">
        <v>1.33928820063</v>
      </c>
      <c r="O415" s="5">
        <v>394.6258850592</v>
      </c>
      <c r="P415">
        <f t="shared" si="40"/>
        <v>1.8137496712004703E-09</v>
      </c>
      <c r="BP415" s="5">
        <v>7.1E-10</v>
      </c>
      <c r="BQ415" s="5">
        <v>3.91415523291</v>
      </c>
      <c r="BR415" s="5">
        <v>7875.6718636242</v>
      </c>
      <c r="BS415">
        <f t="shared" si="41"/>
        <v>-5.410920855585005E-10</v>
      </c>
    </row>
    <row r="416" spans="13:71" ht="12.75">
      <c r="M416" s="5">
        <v>1.49E-09</v>
      </c>
      <c r="N416" s="5">
        <v>2.65697593276</v>
      </c>
      <c r="O416" s="5">
        <v>21.335640467</v>
      </c>
      <c r="P416">
        <f t="shared" si="40"/>
        <v>-1.4605202432770347E-09</v>
      </c>
      <c r="BP416" s="5">
        <v>8.1E-10</v>
      </c>
      <c r="BQ416" s="5">
        <v>0.91938383237</v>
      </c>
      <c r="BR416" s="5">
        <v>74.7815985673</v>
      </c>
      <c r="BS416">
        <f t="shared" si="41"/>
        <v>-2.768290805398657E-10</v>
      </c>
    </row>
    <row r="417" spans="13:71" ht="12.75">
      <c r="M417" s="5">
        <v>1.46E-09</v>
      </c>
      <c r="N417" s="5">
        <v>5.58021191726</v>
      </c>
      <c r="O417" s="5">
        <v>412.3710968744</v>
      </c>
      <c r="P417">
        <f t="shared" si="40"/>
        <v>1.459212992540697E-10</v>
      </c>
      <c r="BP417" s="5">
        <v>8.3E-10</v>
      </c>
      <c r="BQ417" s="5">
        <v>4.69916218791</v>
      </c>
      <c r="BR417" s="5">
        <v>23006.4259925863</v>
      </c>
      <c r="BS417">
        <f t="shared" si="41"/>
        <v>-1.466987122650517E-10</v>
      </c>
    </row>
    <row r="418" spans="13:71" ht="12.75">
      <c r="M418" s="5">
        <v>1.56E-09</v>
      </c>
      <c r="N418" s="5">
        <v>3.75650175503</v>
      </c>
      <c r="O418" s="5">
        <v>12323.4230960088</v>
      </c>
      <c r="P418">
        <f t="shared" si="40"/>
        <v>7.580728862060785E-10</v>
      </c>
      <c r="BP418" s="5">
        <v>6.3E-10</v>
      </c>
      <c r="BQ418" s="5">
        <v>2.32556465878</v>
      </c>
      <c r="BR418" s="5">
        <v>6279.1945146334</v>
      </c>
      <c r="BS418">
        <f t="shared" si="41"/>
        <v>-5.2745409709508876E-11</v>
      </c>
    </row>
    <row r="419" spans="13:71" ht="12.75">
      <c r="M419" s="5">
        <v>1.43E-09</v>
      </c>
      <c r="N419" s="5">
        <v>3.75708566606</v>
      </c>
      <c r="O419" s="5">
        <v>58864.5439181463</v>
      </c>
      <c r="P419">
        <f t="shared" si="40"/>
        <v>1.1727128825599782E-09</v>
      </c>
      <c r="BP419" s="5">
        <v>6.5E-10</v>
      </c>
      <c r="BQ419" s="5">
        <v>5.41938745446</v>
      </c>
      <c r="BR419" s="5">
        <v>28628.3362260996</v>
      </c>
      <c r="BS419">
        <f t="shared" si="41"/>
        <v>2.1525748752044285E-10</v>
      </c>
    </row>
    <row r="420" spans="13:71" ht="12.75">
      <c r="M420" s="5">
        <v>1.43E-09</v>
      </c>
      <c r="N420" s="5">
        <v>3.28248547724</v>
      </c>
      <c r="O420" s="5">
        <v>29.8214381488</v>
      </c>
      <c r="P420">
        <f t="shared" si="40"/>
        <v>-1.2267031811487725E-09</v>
      </c>
      <c r="BP420" s="5">
        <v>6.5E-10</v>
      </c>
      <c r="BQ420" s="5">
        <v>3.02336771694</v>
      </c>
      <c r="BR420" s="5">
        <v>5959.570433334</v>
      </c>
      <c r="BS420">
        <f t="shared" si="41"/>
        <v>3.226374300844964E-10</v>
      </c>
    </row>
    <row r="421" spans="13:71" ht="12.75">
      <c r="M421" s="5">
        <v>1.44E-09</v>
      </c>
      <c r="N421" s="5">
        <v>1.07862546598</v>
      </c>
      <c r="O421" s="5">
        <v>1265.5674786264</v>
      </c>
      <c r="P421">
        <f t="shared" si="40"/>
        <v>9.569271219102786E-10</v>
      </c>
      <c r="BP421" s="5">
        <v>6.4E-10</v>
      </c>
      <c r="BQ421" s="5">
        <v>3.3103319837</v>
      </c>
      <c r="BR421" s="5">
        <v>2636.725472637</v>
      </c>
      <c r="BS421">
        <f t="shared" si="41"/>
        <v>4.0900799355700604E-10</v>
      </c>
    </row>
    <row r="422" spans="13:71" ht="12.75">
      <c r="M422" s="5">
        <v>1.48E-09</v>
      </c>
      <c r="N422" s="5">
        <v>0.23389236655</v>
      </c>
      <c r="O422" s="5">
        <v>10021.8372800994</v>
      </c>
      <c r="P422">
        <f t="shared" si="40"/>
        <v>-1.0180735721061373E-09</v>
      </c>
      <c r="BP422" s="5">
        <v>6.4E-10</v>
      </c>
      <c r="BQ422" s="5">
        <v>0.18375587519</v>
      </c>
      <c r="BR422" s="5">
        <v>1066.49547719</v>
      </c>
      <c r="BS422">
        <f t="shared" si="41"/>
        <v>-1.9584538772387274E-10</v>
      </c>
    </row>
    <row r="423" spans="13:71" ht="12.75">
      <c r="M423" s="5">
        <v>1.93E-09</v>
      </c>
      <c r="N423" s="5">
        <v>5.92751083086</v>
      </c>
      <c r="O423" s="5">
        <v>40879.4405046438</v>
      </c>
      <c r="P423">
        <f t="shared" si="40"/>
        <v>1.8795842833711294E-09</v>
      </c>
      <c r="BP423" s="5">
        <v>8E-10</v>
      </c>
      <c r="BQ423" s="5">
        <v>5.81239171612</v>
      </c>
      <c r="BR423" s="5">
        <v>12341.8069042809</v>
      </c>
      <c r="BS423">
        <f t="shared" si="41"/>
        <v>2.6103161268044813E-10</v>
      </c>
    </row>
    <row r="424" spans="13:71" ht="12.75">
      <c r="M424" s="5">
        <v>1.4E-09</v>
      </c>
      <c r="N424" s="5">
        <v>4.97612440269</v>
      </c>
      <c r="O424" s="5">
        <v>158.9435177832</v>
      </c>
      <c r="P424">
        <f t="shared" si="40"/>
        <v>9.563236812425083E-10</v>
      </c>
      <c r="BP424" s="5">
        <v>6.6E-10</v>
      </c>
      <c r="BQ424" s="5">
        <v>2.15105504851</v>
      </c>
      <c r="BR424" s="5">
        <v>38.0276726358</v>
      </c>
      <c r="BS424">
        <f t="shared" si="41"/>
        <v>-5.848315175487467E-10</v>
      </c>
    </row>
    <row r="425" spans="13:71" ht="12.75">
      <c r="M425" s="5">
        <v>1.48E-09</v>
      </c>
      <c r="N425" s="5">
        <v>2.61640453469</v>
      </c>
      <c r="O425" s="5">
        <v>17157.0618804718</v>
      </c>
      <c r="P425">
        <f t="shared" si="40"/>
        <v>1.3715272373105867E-09</v>
      </c>
      <c r="BP425" s="5">
        <v>6.2E-10</v>
      </c>
      <c r="BQ425" s="5">
        <v>2.43313614978</v>
      </c>
      <c r="BR425" s="5">
        <v>10138.1095169486</v>
      </c>
      <c r="BS425">
        <f t="shared" si="41"/>
        <v>6.077118790748672E-10</v>
      </c>
    </row>
    <row r="426" spans="13:71" ht="12.75">
      <c r="M426" s="5">
        <v>1.41E-09</v>
      </c>
      <c r="N426" s="5">
        <v>3.66871308723</v>
      </c>
      <c r="O426" s="5">
        <v>26084.0218062162</v>
      </c>
      <c r="P426">
        <f t="shared" si="40"/>
        <v>1.0920210334476453E-09</v>
      </c>
      <c r="BP426" s="5">
        <v>6E-10</v>
      </c>
      <c r="BQ426" s="5">
        <v>3.1615390647</v>
      </c>
      <c r="BR426" s="5">
        <v>5490.300961524</v>
      </c>
      <c r="BS426">
        <f t="shared" si="41"/>
        <v>2.195084762921381E-10</v>
      </c>
    </row>
    <row r="427" spans="13:71" ht="12.75">
      <c r="M427" s="5">
        <v>1.47E-09</v>
      </c>
      <c r="N427" s="5">
        <v>5.09968173403</v>
      </c>
      <c r="O427" s="5">
        <v>661.232926781</v>
      </c>
      <c r="P427">
        <f t="shared" si="40"/>
        <v>2.8263758358291426E-10</v>
      </c>
      <c r="BP427" s="5">
        <v>6.9E-10</v>
      </c>
      <c r="BQ427" s="5">
        <v>0.30764736334</v>
      </c>
      <c r="BR427" s="5">
        <v>7018.9523635232</v>
      </c>
      <c r="BS427">
        <f t="shared" si="41"/>
        <v>6.886982131229949E-10</v>
      </c>
    </row>
    <row r="428" spans="13:71" ht="12.75">
      <c r="M428" s="5">
        <v>1.46E-09</v>
      </c>
      <c r="N428" s="5">
        <v>4.96885605695</v>
      </c>
      <c r="O428" s="5">
        <v>57375.8019008462</v>
      </c>
      <c r="P428">
        <f t="shared" si="40"/>
        <v>1.3083082142424165E-09</v>
      </c>
      <c r="BP428" s="5">
        <v>6.8E-10</v>
      </c>
      <c r="BQ428" s="5">
        <v>2.24442548639</v>
      </c>
      <c r="BR428" s="5">
        <v>24383.0791084414</v>
      </c>
      <c r="BS428">
        <f t="shared" si="41"/>
        <v>-4.9187185886227147E-11</v>
      </c>
    </row>
    <row r="429" spans="13:71" ht="12.75">
      <c r="M429" s="5">
        <v>1.42E-09</v>
      </c>
      <c r="N429" s="5">
        <v>0.78678347839</v>
      </c>
      <c r="O429" s="5">
        <v>12779.4507954208</v>
      </c>
      <c r="P429">
        <f t="shared" si="40"/>
        <v>-6.751898298421162E-10</v>
      </c>
      <c r="BP429" s="5">
        <v>7.8E-10</v>
      </c>
      <c r="BQ429" s="5">
        <v>1.39649386463</v>
      </c>
      <c r="BR429" s="5">
        <v>9411.4646150872</v>
      </c>
      <c r="BS429">
        <f t="shared" si="41"/>
        <v>-3.166626742798347E-11</v>
      </c>
    </row>
    <row r="430" spans="13:71" ht="12.75">
      <c r="M430" s="5">
        <v>1.34E-09</v>
      </c>
      <c r="N430" s="5">
        <v>4.79432636012</v>
      </c>
      <c r="O430" s="5">
        <v>111.1866422876</v>
      </c>
      <c r="P430">
        <f t="shared" si="40"/>
        <v>1.3399979847340372E-09</v>
      </c>
      <c r="BP430" s="5">
        <v>6.3E-10</v>
      </c>
      <c r="BQ430" s="5">
        <v>0.72976362625</v>
      </c>
      <c r="BR430" s="5">
        <v>6286.9571853494</v>
      </c>
      <c r="BS430">
        <f t="shared" si="41"/>
        <v>-6.299921258126E-10</v>
      </c>
    </row>
    <row r="431" spans="13:71" ht="12.75">
      <c r="M431" s="5">
        <v>1.4E-09</v>
      </c>
      <c r="N431" s="5">
        <v>1.27748013377</v>
      </c>
      <c r="O431" s="5">
        <v>107.6635239386</v>
      </c>
      <c r="P431">
        <f t="shared" si="40"/>
        <v>-1.275967643557093E-09</v>
      </c>
      <c r="BP431" s="5">
        <v>7.3E-10</v>
      </c>
      <c r="BQ431" s="5">
        <v>4.95125917731</v>
      </c>
      <c r="BR431" s="5">
        <v>6453.7487206106</v>
      </c>
      <c r="BS431">
        <f t="shared" si="41"/>
        <v>-7.201867938162378E-10</v>
      </c>
    </row>
    <row r="432" spans="13:71" ht="12.75">
      <c r="M432" s="5">
        <v>1.69E-09</v>
      </c>
      <c r="N432" s="5">
        <v>2.74893543762</v>
      </c>
      <c r="O432" s="5">
        <v>26735.9452622132</v>
      </c>
      <c r="P432">
        <f t="shared" si="40"/>
        <v>-9.965217460438904E-10</v>
      </c>
      <c r="BP432" s="5">
        <v>7.8E-10</v>
      </c>
      <c r="BQ432" s="5">
        <v>0.32736023459</v>
      </c>
      <c r="BR432" s="5">
        <v>6528.9074962208</v>
      </c>
      <c r="BS432">
        <f t="shared" si="41"/>
        <v>7.421262438667652E-10</v>
      </c>
    </row>
    <row r="433" spans="13:71" ht="12.75">
      <c r="M433" s="5">
        <v>1.65E-09</v>
      </c>
      <c r="N433" s="5">
        <v>3.95288000638</v>
      </c>
      <c r="O433" s="5">
        <v>6357.8574485587</v>
      </c>
      <c r="P433">
        <f t="shared" si="40"/>
        <v>8.567710939294098E-10</v>
      </c>
      <c r="BP433" s="5">
        <v>5.9E-10</v>
      </c>
      <c r="BQ433" s="5">
        <v>4.95362151577</v>
      </c>
      <c r="BR433" s="5">
        <v>35707.7100829074</v>
      </c>
      <c r="BS433">
        <f t="shared" si="41"/>
        <v>1.8044948998407079E-10</v>
      </c>
    </row>
    <row r="434" spans="13:71" ht="12.75">
      <c r="M434" s="5">
        <v>1.83E-09</v>
      </c>
      <c r="N434" s="5">
        <v>5.43418358741</v>
      </c>
      <c r="O434" s="5">
        <v>369.6998159404</v>
      </c>
      <c r="P434">
        <f t="shared" si="40"/>
        <v>-1.0582910356216352E-09</v>
      </c>
      <c r="BP434" s="5">
        <v>7E-10</v>
      </c>
      <c r="BQ434" s="5">
        <v>2.37962727525</v>
      </c>
      <c r="BR434" s="5">
        <v>15508.6151232744</v>
      </c>
      <c r="BS434">
        <f t="shared" si="41"/>
        <v>-5.447871104705508E-10</v>
      </c>
    </row>
    <row r="435" spans="13:71" ht="12.75">
      <c r="M435" s="5">
        <v>1.34E-09</v>
      </c>
      <c r="N435" s="5">
        <v>3.09132862833</v>
      </c>
      <c r="O435" s="5">
        <v>17.812522118</v>
      </c>
      <c r="P435">
        <f t="shared" si="40"/>
        <v>-1.3163944475091158E-09</v>
      </c>
      <c r="BP435" s="5">
        <v>7.3E-10</v>
      </c>
      <c r="BQ435" s="5">
        <v>1.35229143111</v>
      </c>
      <c r="BR435" s="5">
        <v>5327.4761083828</v>
      </c>
      <c r="BS435">
        <f t="shared" si="41"/>
        <v>-6.855388758022757E-10</v>
      </c>
    </row>
    <row r="436" spans="13:71" ht="12.75">
      <c r="M436" s="5">
        <v>1.32E-09</v>
      </c>
      <c r="N436" s="5">
        <v>3.05633896779</v>
      </c>
      <c r="O436" s="5">
        <v>22490.9621214934</v>
      </c>
      <c r="P436">
        <f t="shared" si="40"/>
        <v>-8.603518839484975E-10</v>
      </c>
      <c r="BP436" s="5">
        <v>7.2E-10</v>
      </c>
      <c r="BQ436" s="5">
        <v>5.91833527334</v>
      </c>
      <c r="BR436" s="5">
        <v>10881.0995774812</v>
      </c>
      <c r="BS436">
        <f t="shared" si="41"/>
        <v>5.701528810219414E-10</v>
      </c>
    </row>
    <row r="437" spans="13:71" ht="12.75">
      <c r="M437" s="5">
        <v>1.34E-09</v>
      </c>
      <c r="N437" s="5">
        <v>4.09472795832</v>
      </c>
      <c r="O437" s="5">
        <v>6599.467719648</v>
      </c>
      <c r="P437">
        <f t="shared" si="40"/>
        <v>-4.1410844662837393E-10</v>
      </c>
      <c r="BP437" s="5">
        <v>5.9E-10</v>
      </c>
      <c r="BQ437" s="5">
        <v>5.36231868425</v>
      </c>
      <c r="BR437" s="5">
        <v>10239.5838660108</v>
      </c>
      <c r="BS437">
        <f t="shared" si="41"/>
        <v>-3.454035525432998E-10</v>
      </c>
    </row>
    <row r="438" spans="13:71" ht="12.75">
      <c r="M438" s="5">
        <v>1.81E-09</v>
      </c>
      <c r="N438" s="5">
        <v>4.22950689891</v>
      </c>
      <c r="O438" s="5">
        <v>966.9708774356</v>
      </c>
      <c r="P438">
        <f t="shared" si="40"/>
        <v>-2.0946897738320088E-10</v>
      </c>
      <c r="BP438" s="5">
        <v>5.9E-10</v>
      </c>
      <c r="BQ438" s="5">
        <v>1.63156134967</v>
      </c>
      <c r="BR438" s="5">
        <v>61306.0115970658</v>
      </c>
      <c r="BS438">
        <f t="shared" si="41"/>
        <v>4.409115386360044E-11</v>
      </c>
    </row>
    <row r="439" spans="13:71" ht="12.75">
      <c r="M439" s="5">
        <v>1.52E-09</v>
      </c>
      <c r="N439" s="5">
        <v>5.28885894415</v>
      </c>
      <c r="O439" s="5">
        <v>12669.2444742014</v>
      </c>
      <c r="P439">
        <f t="shared" si="40"/>
        <v>5.666016184664076E-10</v>
      </c>
      <c r="BP439" s="5">
        <v>5.4E-10</v>
      </c>
      <c r="BQ439" s="5">
        <v>4.29491690425</v>
      </c>
      <c r="BR439" s="5">
        <v>21947.1113727</v>
      </c>
      <c r="BS439">
        <f t="shared" si="41"/>
        <v>-4.4164212767348087E-10</v>
      </c>
    </row>
    <row r="440" spans="13:71" ht="12.75">
      <c r="M440" s="5">
        <v>1.5E-09</v>
      </c>
      <c r="N440" s="5">
        <v>5.86819430908</v>
      </c>
      <c r="O440" s="5">
        <v>97238.6275444874</v>
      </c>
      <c r="P440">
        <f t="shared" si="40"/>
        <v>1.3408462647135273E-09</v>
      </c>
      <c r="BP440" s="5">
        <v>5.7E-10</v>
      </c>
      <c r="BQ440" s="5">
        <v>5.89190132575</v>
      </c>
      <c r="BR440" s="5">
        <v>34513.2630726828</v>
      </c>
      <c r="BS440">
        <f t="shared" si="41"/>
        <v>-4.737979142732813E-10</v>
      </c>
    </row>
    <row r="441" spans="13:71" ht="12.75">
      <c r="M441" s="5">
        <v>1.42E-09</v>
      </c>
      <c r="N441" s="5">
        <v>5.87266532526</v>
      </c>
      <c r="O441" s="5">
        <v>22476.7350274917</v>
      </c>
      <c r="P441">
        <f t="shared" si="40"/>
        <v>2.742809232223019E-10</v>
      </c>
      <c r="BP441" s="5">
        <v>7.4E-10</v>
      </c>
      <c r="BQ441" s="5">
        <v>1.38235845304</v>
      </c>
      <c r="BR441" s="5">
        <v>9967.4538999816</v>
      </c>
      <c r="BS441">
        <f t="shared" si="41"/>
        <v>-6.841129491438474E-10</v>
      </c>
    </row>
    <row r="442" spans="13:71" ht="12.75">
      <c r="M442" s="5">
        <v>1.45E-09</v>
      </c>
      <c r="N442" s="5">
        <v>5.07330784304</v>
      </c>
      <c r="O442" s="5">
        <v>87.30820453981</v>
      </c>
      <c r="P442">
        <f t="shared" si="40"/>
        <v>1.4487135047969516E-09</v>
      </c>
      <c r="BP442" s="5">
        <v>5.3E-10</v>
      </c>
      <c r="BQ442" s="5">
        <v>3.86543309344</v>
      </c>
      <c r="BR442" s="5">
        <v>32370.9789915656</v>
      </c>
      <c r="BS442">
        <f t="shared" si="41"/>
        <v>-5.242951283625692E-10</v>
      </c>
    </row>
    <row r="443" spans="13:71" ht="12.75">
      <c r="M443" s="5">
        <v>1.33E-09</v>
      </c>
      <c r="N443" s="5">
        <v>5.65471067133</v>
      </c>
      <c r="O443" s="5">
        <v>31.9723058168</v>
      </c>
      <c r="P443">
        <f t="shared" si="40"/>
        <v>1.3032650474490185E-09</v>
      </c>
      <c r="BP443" s="5">
        <v>5.5E-10</v>
      </c>
      <c r="BQ443" s="5">
        <v>4.51794544854</v>
      </c>
      <c r="BR443" s="5">
        <v>34911.412076091</v>
      </c>
      <c r="BS443">
        <f t="shared" si="41"/>
        <v>5.367176185191969E-10</v>
      </c>
    </row>
    <row r="444" spans="13:71" ht="12.75">
      <c r="M444" s="5">
        <v>1.24E-09</v>
      </c>
      <c r="N444" s="5">
        <v>2.83326217072</v>
      </c>
      <c r="O444" s="5">
        <v>12566.2190102856</v>
      </c>
      <c r="P444">
        <f t="shared" si="40"/>
        <v>3.7825685700002976E-10</v>
      </c>
      <c r="BP444" s="5">
        <v>6.3E-10</v>
      </c>
      <c r="BQ444" s="5">
        <v>5.41479412056</v>
      </c>
      <c r="BR444" s="5">
        <v>11502.8376165305</v>
      </c>
      <c r="BS444">
        <f t="shared" si="41"/>
        <v>-3.6356537194629557E-10</v>
      </c>
    </row>
    <row r="445" spans="13:71" ht="12.75">
      <c r="M445" s="5">
        <v>1.35E-09</v>
      </c>
      <c r="N445" s="5">
        <v>3.12861731644</v>
      </c>
      <c r="O445" s="5">
        <v>32217.2001810808</v>
      </c>
      <c r="P445">
        <f t="shared" si="40"/>
        <v>1.18806273626935E-09</v>
      </c>
      <c r="BP445" s="5">
        <v>6.3E-10</v>
      </c>
      <c r="BQ445" s="5">
        <v>2.34416220742</v>
      </c>
      <c r="BR445" s="5">
        <v>11510.7019230567</v>
      </c>
      <c r="BS445">
        <f t="shared" si="41"/>
        <v>4.481006133605317E-10</v>
      </c>
    </row>
    <row r="446" spans="13:71" ht="12.75">
      <c r="M446" s="5">
        <v>1.37E-09</v>
      </c>
      <c r="N446" s="5">
        <v>0.86487461904</v>
      </c>
      <c r="O446" s="5">
        <v>9924.8104215106</v>
      </c>
      <c r="P446">
        <f t="shared" si="40"/>
        <v>-1.2561634461572084E-10</v>
      </c>
      <c r="BP446" s="5">
        <v>6.8E-10</v>
      </c>
      <c r="BQ446" s="5">
        <v>0.77493931112</v>
      </c>
      <c r="BR446" s="5">
        <v>29864.334027309</v>
      </c>
      <c r="BS446">
        <f t="shared" si="41"/>
        <v>-2.2790764925585903E-10</v>
      </c>
    </row>
    <row r="447" spans="13:71" ht="12.75">
      <c r="M447" s="5">
        <v>1.72E-09</v>
      </c>
      <c r="N447" s="5">
        <v>1.98369595114</v>
      </c>
      <c r="O447" s="5">
        <v>174242.465964049</v>
      </c>
      <c r="P447">
        <f t="shared" si="40"/>
        <v>2.582483741838633E-10</v>
      </c>
      <c r="BP447" s="5">
        <v>6E-10</v>
      </c>
      <c r="BQ447" s="5">
        <v>5.57024703495</v>
      </c>
      <c r="BR447" s="5">
        <v>5756.9080032458</v>
      </c>
      <c r="BS447">
        <f t="shared" si="41"/>
        <v>3.7874052651614755E-10</v>
      </c>
    </row>
    <row r="448" spans="13:71" ht="12.75">
      <c r="M448" s="5">
        <v>1.7E-09</v>
      </c>
      <c r="N448" s="5">
        <v>4.41115280254</v>
      </c>
      <c r="O448" s="5">
        <v>327574.514276781</v>
      </c>
      <c r="P448">
        <f t="shared" si="40"/>
        <v>1.6962284567604712E-09</v>
      </c>
      <c r="BP448" s="5">
        <v>7.2E-10</v>
      </c>
      <c r="BQ448" s="5">
        <v>2.80863088166</v>
      </c>
      <c r="BR448" s="5">
        <v>10866.8724834796</v>
      </c>
      <c r="BS448">
        <f t="shared" si="41"/>
        <v>-6.323706653661849E-10</v>
      </c>
    </row>
    <row r="449" spans="13:71" ht="12.75">
      <c r="M449" s="5">
        <v>1.51E-09</v>
      </c>
      <c r="N449" s="5">
        <v>0.46542099527</v>
      </c>
      <c r="O449" s="5">
        <v>39609.6545831656</v>
      </c>
      <c r="P449">
        <f t="shared" si="40"/>
        <v>-1.1708654137976928E-09</v>
      </c>
      <c r="BP449" s="5">
        <v>6.1E-10</v>
      </c>
      <c r="BQ449" s="5">
        <v>2.69736991384</v>
      </c>
      <c r="BR449" s="5">
        <v>82576.9812209952</v>
      </c>
      <c r="BS449">
        <f t="shared" si="41"/>
        <v>1.4764844980691953E-10</v>
      </c>
    </row>
    <row r="450" spans="13:71" ht="12.75">
      <c r="M450" s="5">
        <v>1.48E-09</v>
      </c>
      <c r="N450" s="5">
        <v>2.13439571118</v>
      </c>
      <c r="O450" s="5">
        <v>491.6632924588</v>
      </c>
      <c r="P450">
        <f aca="true" t="shared" si="42" ref="P450:P513">M450*COS(N450+O450*$E$16)</f>
        <v>-1.1181479351459654E-09</v>
      </c>
      <c r="BP450" s="5">
        <v>6.3E-10</v>
      </c>
      <c r="BQ450" s="5">
        <v>5.32068807257</v>
      </c>
      <c r="BR450" s="5">
        <v>3116.6594122598</v>
      </c>
      <c r="BS450">
        <f aca="true" t="shared" si="43" ref="BS450:BS513">BP450*COS(BQ450+BR450*$E$16)</f>
        <v>-6.256345938317043E-10</v>
      </c>
    </row>
    <row r="451" spans="13:71" ht="12.75">
      <c r="M451" s="5">
        <v>1.53E-09</v>
      </c>
      <c r="N451" s="5">
        <v>3.78801830344</v>
      </c>
      <c r="O451" s="5">
        <v>17363.2474289089</v>
      </c>
      <c r="P451">
        <f t="shared" si="42"/>
        <v>-1.4077191350686028E-09</v>
      </c>
      <c r="BP451" s="5">
        <v>5.2E-10</v>
      </c>
      <c r="BQ451" s="5">
        <v>1.02278758099</v>
      </c>
      <c r="BR451" s="5">
        <v>6272.4391846416</v>
      </c>
      <c r="BS451">
        <f t="shared" si="43"/>
        <v>-5.177118648773422E-10</v>
      </c>
    </row>
    <row r="452" spans="13:71" ht="12.75">
      <c r="M452" s="5">
        <v>1.65E-09</v>
      </c>
      <c r="N452" s="5">
        <v>5.31654110459</v>
      </c>
      <c r="O452" s="5">
        <v>16943.7627850338</v>
      </c>
      <c r="P452">
        <f t="shared" si="42"/>
        <v>1.416924178183151E-09</v>
      </c>
      <c r="BP452" s="5">
        <v>6.9E-10</v>
      </c>
      <c r="BQ452" s="5">
        <v>5.00698550308</v>
      </c>
      <c r="BR452" s="5">
        <v>25287.7237993998</v>
      </c>
      <c r="BS452">
        <f t="shared" si="43"/>
        <v>-4.819932432752348E-10</v>
      </c>
    </row>
    <row r="453" spans="13:71" ht="12.75">
      <c r="M453" s="5">
        <v>1.65E-09</v>
      </c>
      <c r="N453" s="5">
        <v>4.06747587817</v>
      </c>
      <c r="O453" s="5">
        <v>58953.145443294</v>
      </c>
      <c r="P453">
        <f t="shared" si="42"/>
        <v>1.0434062642381501E-09</v>
      </c>
      <c r="BP453" s="5">
        <v>6.6E-10</v>
      </c>
      <c r="BQ453" s="5">
        <v>6.12047940728</v>
      </c>
      <c r="BR453" s="5">
        <v>12074.488407524</v>
      </c>
      <c r="BS453">
        <f t="shared" si="43"/>
        <v>-2.91874492521893E-10</v>
      </c>
    </row>
    <row r="454" spans="13:71" ht="12.75">
      <c r="M454" s="5">
        <v>1.18E-09</v>
      </c>
      <c r="N454" s="5">
        <v>0.63846333239</v>
      </c>
      <c r="O454" s="5">
        <v>6.0659156298</v>
      </c>
      <c r="P454">
        <f t="shared" si="42"/>
        <v>8.874457038706613E-10</v>
      </c>
      <c r="BP454" s="5">
        <v>5.1E-10</v>
      </c>
      <c r="BQ454" s="5">
        <v>2.59519527563</v>
      </c>
      <c r="BR454" s="5">
        <v>11396.5634485742</v>
      </c>
      <c r="BS454">
        <f t="shared" si="43"/>
        <v>-2.374359014261602E-10</v>
      </c>
    </row>
    <row r="455" spans="13:71" ht="12.75">
      <c r="M455" s="5">
        <v>1.59E-09</v>
      </c>
      <c r="N455" s="5">
        <v>0.86086959274</v>
      </c>
      <c r="O455" s="5">
        <v>221995.028801495</v>
      </c>
      <c r="P455">
        <f t="shared" si="42"/>
        <v>-5.075642535562271E-10</v>
      </c>
      <c r="BP455" s="5">
        <v>5.6E-10</v>
      </c>
      <c r="BQ455" s="5">
        <v>2.57995973521</v>
      </c>
      <c r="BR455" s="5">
        <v>17892.9383940035</v>
      </c>
      <c r="BS455">
        <f t="shared" si="43"/>
        <v>-5.599953059701364E-10</v>
      </c>
    </row>
    <row r="456" spans="13:71" ht="12.75">
      <c r="M456" s="5">
        <v>1.19E-09</v>
      </c>
      <c r="N456" s="5">
        <v>5.96432932413</v>
      </c>
      <c r="O456" s="5">
        <v>1385.8952763362</v>
      </c>
      <c r="P456">
        <f t="shared" si="42"/>
        <v>9.601334633924176E-10</v>
      </c>
      <c r="BP456" s="5">
        <v>5.9E-10</v>
      </c>
      <c r="BQ456" s="5">
        <v>0.4416723762</v>
      </c>
      <c r="BR456" s="5">
        <v>250570.675857219</v>
      </c>
      <c r="BS456">
        <f t="shared" si="43"/>
        <v>-5.720229836184556E-10</v>
      </c>
    </row>
    <row r="457" spans="13:71" ht="12.75">
      <c r="M457" s="5">
        <v>1.14E-09</v>
      </c>
      <c r="N457" s="5">
        <v>5.16516114595</v>
      </c>
      <c r="O457" s="5">
        <v>25685.872802808</v>
      </c>
      <c r="P457">
        <f t="shared" si="42"/>
        <v>-1.139996945041962E-09</v>
      </c>
      <c r="BP457" s="5">
        <v>5.9E-10</v>
      </c>
      <c r="BQ457" s="5">
        <v>3.84070143543</v>
      </c>
      <c r="BR457" s="5">
        <v>5483.254724826</v>
      </c>
      <c r="BS457">
        <f t="shared" si="43"/>
        <v>-1.2320802113642617E-10</v>
      </c>
    </row>
    <row r="458" spans="13:71" ht="12.75">
      <c r="M458" s="5">
        <v>1.12E-09</v>
      </c>
      <c r="N458" s="5">
        <v>3.39403722178</v>
      </c>
      <c r="O458" s="5">
        <v>21393.5419698576</v>
      </c>
      <c r="P458">
        <f t="shared" si="42"/>
        <v>9.792349976555337E-10</v>
      </c>
      <c r="BP458" s="5">
        <v>4.9E-10</v>
      </c>
      <c r="BQ458" s="5">
        <v>0.54704693048</v>
      </c>
      <c r="BR458" s="5">
        <v>22594.0548957119</v>
      </c>
      <c r="BS458">
        <f t="shared" si="43"/>
        <v>2.000226152597286E-10</v>
      </c>
    </row>
    <row r="459" spans="13:71" ht="12.75">
      <c r="M459" s="5">
        <v>1.12E-09</v>
      </c>
      <c r="N459" s="5">
        <v>4.92889233335</v>
      </c>
      <c r="O459" s="5">
        <v>56.8032621698</v>
      </c>
      <c r="P459">
        <f t="shared" si="42"/>
        <v>9.278101876190289E-10</v>
      </c>
      <c r="BP459" s="5">
        <v>6.5E-10</v>
      </c>
      <c r="BQ459" s="5">
        <v>2.38423614501</v>
      </c>
      <c r="BR459" s="5">
        <v>52670.0695933026</v>
      </c>
      <c r="BS459">
        <f t="shared" si="43"/>
        <v>-6.499650337624709E-10</v>
      </c>
    </row>
    <row r="460" spans="13:71" ht="12.75">
      <c r="M460" s="5">
        <v>1.19E-09</v>
      </c>
      <c r="N460" s="5">
        <v>2.40637635942</v>
      </c>
      <c r="O460" s="5">
        <v>18635.9284545362</v>
      </c>
      <c r="P460">
        <f t="shared" si="42"/>
        <v>1.1238254740596622E-09</v>
      </c>
      <c r="BP460" s="5">
        <v>6.9E-10</v>
      </c>
      <c r="BQ460" s="5">
        <v>5.34363738671</v>
      </c>
      <c r="BR460" s="5">
        <v>66813.5648357332</v>
      </c>
      <c r="BS460">
        <f t="shared" si="43"/>
        <v>6.115338176492666E-10</v>
      </c>
    </row>
    <row r="461" spans="13:71" ht="12.75">
      <c r="M461" s="5">
        <v>1.15E-09</v>
      </c>
      <c r="N461" s="5">
        <v>0.23374479051</v>
      </c>
      <c r="O461" s="5">
        <v>418.9243989006</v>
      </c>
      <c r="P461">
        <f t="shared" si="42"/>
        <v>1.0373507590207185E-09</v>
      </c>
      <c r="BP461" s="5">
        <v>5.7E-10</v>
      </c>
      <c r="BQ461" s="5">
        <v>5.42770501007</v>
      </c>
      <c r="BR461" s="5">
        <v>310145.152823923</v>
      </c>
      <c r="BS461">
        <f t="shared" si="43"/>
        <v>5.150247545726915E-10</v>
      </c>
    </row>
    <row r="462" spans="13:71" ht="12.75">
      <c r="M462" s="5">
        <v>1.22E-09</v>
      </c>
      <c r="N462" s="5">
        <v>0.93575234049</v>
      </c>
      <c r="O462" s="5">
        <v>24492.4061136515</v>
      </c>
      <c r="P462">
        <f t="shared" si="42"/>
        <v>-2.733504644973452E-10</v>
      </c>
      <c r="BP462" s="5">
        <v>5.3E-10</v>
      </c>
      <c r="BQ462" s="5">
        <v>1.17760296075</v>
      </c>
      <c r="BR462" s="5">
        <v>149.5631971346</v>
      </c>
      <c r="BS462">
        <f t="shared" si="43"/>
        <v>-5.29648490416926E-10</v>
      </c>
    </row>
    <row r="463" spans="13:71" ht="12.75">
      <c r="M463" s="5">
        <v>1.15E-09</v>
      </c>
      <c r="N463" s="5">
        <v>4.58880032176</v>
      </c>
      <c r="O463" s="5">
        <v>26709.6469424134</v>
      </c>
      <c r="P463">
        <f t="shared" si="42"/>
        <v>-9.816256597041572E-10</v>
      </c>
      <c r="BP463" s="5">
        <v>6.1E-10</v>
      </c>
      <c r="BQ463" s="5">
        <v>4.02090887211</v>
      </c>
      <c r="BR463" s="5">
        <v>34596.3646546524</v>
      </c>
      <c r="BS463">
        <f t="shared" si="43"/>
        <v>-1.3419148560183718E-10</v>
      </c>
    </row>
    <row r="464" spans="13:71" ht="12.75">
      <c r="M464" s="5">
        <v>1.3E-09</v>
      </c>
      <c r="N464" s="5">
        <v>4.85539251</v>
      </c>
      <c r="O464" s="5">
        <v>22345.2603761082</v>
      </c>
      <c r="P464">
        <f t="shared" si="42"/>
        <v>-6.907841004761739E-10</v>
      </c>
      <c r="BP464" s="5">
        <v>4.9E-10</v>
      </c>
      <c r="BQ464" s="5">
        <v>4.18361320516</v>
      </c>
      <c r="BR464" s="5">
        <v>18606.4989460002</v>
      </c>
      <c r="BS464">
        <f t="shared" si="43"/>
        <v>-7.219652777886667E-11</v>
      </c>
    </row>
    <row r="465" spans="13:71" ht="12.75">
      <c r="M465" s="5">
        <v>1.4E-09</v>
      </c>
      <c r="N465" s="5">
        <v>1.09413073202</v>
      </c>
      <c r="O465" s="5">
        <v>44809.6502008634</v>
      </c>
      <c r="P465">
        <f t="shared" si="42"/>
        <v>-1.299958817521651E-09</v>
      </c>
      <c r="BP465" s="5">
        <v>5.5E-10</v>
      </c>
      <c r="BQ465" s="5">
        <v>0.83886167974</v>
      </c>
      <c r="BR465" s="5">
        <v>20452.8694122218</v>
      </c>
      <c r="BS465">
        <f t="shared" si="43"/>
        <v>-2.6018373883119316E-10</v>
      </c>
    </row>
    <row r="466" spans="13:71" ht="12.75">
      <c r="M466" s="5">
        <v>1.12E-09</v>
      </c>
      <c r="N466" s="5">
        <v>6.05401806281</v>
      </c>
      <c r="O466" s="5">
        <v>433.7117378768</v>
      </c>
      <c r="P466">
        <f t="shared" si="42"/>
        <v>8.483093175742389E-10</v>
      </c>
      <c r="BP466" s="5">
        <v>5E-10</v>
      </c>
      <c r="BQ466" s="5">
        <v>1.46327331958</v>
      </c>
      <c r="BR466" s="5">
        <v>37455.7264959744</v>
      </c>
      <c r="BS466">
        <f t="shared" si="43"/>
        <v>4.87937622821332E-10</v>
      </c>
    </row>
    <row r="467" spans="13:71" ht="12.75">
      <c r="M467" s="5">
        <v>1.04E-09</v>
      </c>
      <c r="N467" s="5">
        <v>1.54931540602</v>
      </c>
      <c r="O467" s="5">
        <v>127.9515330346</v>
      </c>
      <c r="P467">
        <f t="shared" si="42"/>
        <v>-1.032635296147375E-09</v>
      </c>
      <c r="BP467" s="5">
        <v>4.8E-10</v>
      </c>
      <c r="BQ467" s="5">
        <v>4.53854727167</v>
      </c>
      <c r="BR467" s="5">
        <v>29822.7832363242</v>
      </c>
      <c r="BS467">
        <f t="shared" si="43"/>
        <v>1.3057395846425116E-10</v>
      </c>
    </row>
    <row r="468" spans="13:71" ht="12.75">
      <c r="M468" s="5">
        <v>1.05E-09</v>
      </c>
      <c r="N468" s="5">
        <v>4.82620858888</v>
      </c>
      <c r="O468" s="5">
        <v>33794.5437235286</v>
      </c>
      <c r="P468">
        <f t="shared" si="42"/>
        <v>-2.8259786452885337E-10</v>
      </c>
      <c r="BP468" s="5">
        <v>5.8E-10</v>
      </c>
      <c r="BQ468" s="5">
        <v>3.34847975377</v>
      </c>
      <c r="BR468" s="5">
        <v>33990.6183442862</v>
      </c>
      <c r="BS468">
        <f t="shared" si="43"/>
        <v>4.4416018201908653E-10</v>
      </c>
    </row>
    <row r="469" spans="13:71" ht="12.75">
      <c r="M469" s="5">
        <v>1.02E-09</v>
      </c>
      <c r="N469" s="5">
        <v>4.12448497391</v>
      </c>
      <c r="O469" s="5">
        <v>15664.0355227085</v>
      </c>
      <c r="P469">
        <f t="shared" si="42"/>
        <v>1.0199950263331348E-09</v>
      </c>
      <c r="BP469" s="5">
        <v>6.5E-10</v>
      </c>
      <c r="BQ469" s="5">
        <v>1.45522693982</v>
      </c>
      <c r="BR469" s="5">
        <v>76251.3277706201</v>
      </c>
      <c r="BS469">
        <f t="shared" si="43"/>
        <v>-6.20703358139678E-10</v>
      </c>
    </row>
    <row r="470" spans="13:71" ht="12.75">
      <c r="M470" s="5">
        <v>1.07E-09</v>
      </c>
      <c r="N470" s="5">
        <v>4.67919356465</v>
      </c>
      <c r="O470" s="5">
        <v>77690.7595057384</v>
      </c>
      <c r="P470">
        <f t="shared" si="42"/>
        <v>7.556652667445783E-10</v>
      </c>
      <c r="BP470" s="5">
        <v>5.6E-10</v>
      </c>
      <c r="BQ470" s="5">
        <v>2.35650663692</v>
      </c>
      <c r="BR470" s="5">
        <v>37724.7534197482</v>
      </c>
      <c r="BS470">
        <f t="shared" si="43"/>
        <v>-2.3903989564108295E-10</v>
      </c>
    </row>
    <row r="471" spans="13:71" ht="12.75">
      <c r="M471" s="5">
        <v>1.18E-09</v>
      </c>
      <c r="N471" s="5">
        <v>4.5232017012</v>
      </c>
      <c r="O471" s="5">
        <v>19004.6479494084</v>
      </c>
      <c r="P471">
        <f t="shared" si="42"/>
        <v>5.348937914495715E-10</v>
      </c>
      <c r="BP471" s="5">
        <v>5.2E-10</v>
      </c>
      <c r="BQ471" s="5">
        <v>2.61551081496</v>
      </c>
      <c r="BR471" s="5">
        <v>5999.2165311262</v>
      </c>
      <c r="BS471">
        <f t="shared" si="43"/>
        <v>2.010578512681051E-10</v>
      </c>
    </row>
    <row r="472" spans="13:71" ht="12.75">
      <c r="M472" s="5">
        <v>1.07E-09</v>
      </c>
      <c r="N472" s="5">
        <v>5.71774478555</v>
      </c>
      <c r="O472" s="5">
        <v>77736.7834305024</v>
      </c>
      <c r="P472">
        <f t="shared" si="42"/>
        <v>-8.178076067552487E-10</v>
      </c>
      <c r="BP472" s="5">
        <v>5.3E-10</v>
      </c>
      <c r="BQ472" s="5">
        <v>0.17334326094</v>
      </c>
      <c r="BR472" s="5">
        <v>77717.2945864694</v>
      </c>
      <c r="BS472">
        <f t="shared" si="43"/>
        <v>-5.1691010599099E-10</v>
      </c>
    </row>
    <row r="473" spans="13:71" ht="12.75">
      <c r="M473" s="5">
        <v>1.43E-09</v>
      </c>
      <c r="N473" s="5">
        <v>1.81201813018</v>
      </c>
      <c r="O473" s="5">
        <v>4214.0690150848</v>
      </c>
      <c r="P473">
        <f t="shared" si="42"/>
        <v>-7.982646391633691E-11</v>
      </c>
      <c r="BP473" s="5">
        <v>5.3E-10</v>
      </c>
      <c r="BQ473" s="5">
        <v>0.79879700631</v>
      </c>
      <c r="BR473" s="5">
        <v>77710.2483497714</v>
      </c>
      <c r="BS473">
        <f t="shared" si="43"/>
        <v>-5.04979001244579E-10</v>
      </c>
    </row>
    <row r="474" spans="13:71" ht="12.75">
      <c r="M474" s="5">
        <v>1.25E-09</v>
      </c>
      <c r="N474" s="5">
        <v>1.14419195615</v>
      </c>
      <c r="O474" s="5">
        <v>625.6701923124</v>
      </c>
      <c r="P474">
        <f t="shared" si="42"/>
        <v>-1.2451882123925273E-09</v>
      </c>
      <c r="BP474" s="5">
        <v>4.7E-10</v>
      </c>
      <c r="BQ474" s="5">
        <v>0.43240779709</v>
      </c>
      <c r="BR474" s="5">
        <v>735.8765135318</v>
      </c>
      <c r="BS474">
        <f t="shared" si="43"/>
        <v>-3.1019209045707813E-10</v>
      </c>
    </row>
    <row r="475" spans="13:71" ht="12.75">
      <c r="M475" s="5">
        <v>1.24E-09</v>
      </c>
      <c r="N475" s="5">
        <v>3.27736514057</v>
      </c>
      <c r="O475" s="5">
        <v>12566.08438968</v>
      </c>
      <c r="P475">
        <f t="shared" si="42"/>
        <v>-1.6359331257060878E-10</v>
      </c>
      <c r="BP475" s="5">
        <v>5.3E-10</v>
      </c>
      <c r="BQ475" s="5">
        <v>4.58763261686</v>
      </c>
      <c r="BR475" s="5">
        <v>11616.976091013</v>
      </c>
      <c r="BS475">
        <f t="shared" si="43"/>
        <v>-5.127015607509493E-10</v>
      </c>
    </row>
    <row r="476" spans="13:71" ht="12.75">
      <c r="M476" s="5">
        <v>1.1E-09</v>
      </c>
      <c r="N476" s="5">
        <v>1.08682570828</v>
      </c>
      <c r="O476" s="5">
        <v>2787.0430238574</v>
      </c>
      <c r="P476">
        <f t="shared" si="42"/>
        <v>8.659499571796212E-10</v>
      </c>
      <c r="BP476" s="5">
        <v>4.8E-10</v>
      </c>
      <c r="BQ476" s="5">
        <v>6.20230111054</v>
      </c>
      <c r="BR476" s="5">
        <v>4171.4255366138</v>
      </c>
      <c r="BS476">
        <f t="shared" si="43"/>
        <v>3.215912657044728E-10</v>
      </c>
    </row>
    <row r="477" spans="13:71" ht="12.75">
      <c r="M477" s="5">
        <v>1.05E-09</v>
      </c>
      <c r="N477" s="5">
        <v>1.78318141871</v>
      </c>
      <c r="O477" s="5">
        <v>18139.2945014159</v>
      </c>
      <c r="P477">
        <f t="shared" si="42"/>
        <v>8.375087048256386E-10</v>
      </c>
      <c r="BP477" s="5">
        <v>5.2E-10</v>
      </c>
      <c r="BQ477" s="5">
        <v>1.09723616404</v>
      </c>
      <c r="BR477" s="5">
        <v>640.8776073822</v>
      </c>
      <c r="BS477">
        <f t="shared" si="43"/>
        <v>-5.045702456462977E-10</v>
      </c>
    </row>
    <row r="478" spans="13:71" ht="12.75">
      <c r="M478" s="5">
        <v>1.02E-09</v>
      </c>
      <c r="N478" s="5">
        <v>4.75119578149</v>
      </c>
      <c r="O478" s="5">
        <v>12242.6462833254</v>
      </c>
      <c r="P478">
        <f t="shared" si="42"/>
        <v>4.1754013861599437E-10</v>
      </c>
      <c r="BP478" s="5">
        <v>5.7E-10</v>
      </c>
      <c r="BQ478" s="5">
        <v>3.42008310383</v>
      </c>
      <c r="BR478" s="5">
        <v>50317.2034395308</v>
      </c>
      <c r="BS478">
        <f t="shared" si="43"/>
        <v>-3.213990271516967E-10</v>
      </c>
    </row>
    <row r="479" spans="13:71" ht="12.75">
      <c r="M479" s="5">
        <v>1.37E-09</v>
      </c>
      <c r="N479" s="5">
        <v>1.43510636754</v>
      </c>
      <c r="O479" s="5">
        <v>86464.6133168311</v>
      </c>
      <c r="P479">
        <f t="shared" si="42"/>
        <v>-3.056204388704991E-10</v>
      </c>
      <c r="BP479" s="5">
        <v>5.3E-10</v>
      </c>
      <c r="BQ479" s="5">
        <v>1.01528448581</v>
      </c>
      <c r="BR479" s="5">
        <v>149144.467086249</v>
      </c>
      <c r="BS479">
        <f t="shared" si="43"/>
        <v>-3.2293385645244194E-10</v>
      </c>
    </row>
    <row r="480" spans="13:71" ht="12.75">
      <c r="M480" s="5">
        <v>1.01E-09</v>
      </c>
      <c r="N480" s="5">
        <v>4.91289409429</v>
      </c>
      <c r="O480" s="5">
        <v>401.6721217572</v>
      </c>
      <c r="P480">
        <f t="shared" si="42"/>
        <v>-6.585846856212511E-10</v>
      </c>
      <c r="BP480" s="5">
        <v>4.7E-10</v>
      </c>
      <c r="BQ480" s="5">
        <v>3.00924906195</v>
      </c>
      <c r="BR480" s="5">
        <v>52175.8062831484</v>
      </c>
      <c r="BS480">
        <f t="shared" si="43"/>
        <v>-4.507705572726004E-10</v>
      </c>
    </row>
    <row r="481" spans="13:71" ht="12.75">
      <c r="M481" s="5">
        <v>1.29E-09</v>
      </c>
      <c r="N481" s="5">
        <v>1.23567904485</v>
      </c>
      <c r="O481" s="5">
        <v>12029.3471878874</v>
      </c>
      <c r="P481">
        <f t="shared" si="42"/>
        <v>4.259778548631051E-10</v>
      </c>
      <c r="BP481" s="5">
        <v>5.2E-10</v>
      </c>
      <c r="BQ481" s="5">
        <v>2.03254070404</v>
      </c>
      <c r="BR481" s="5">
        <v>6293.7125153412</v>
      </c>
      <c r="BS481">
        <f t="shared" si="43"/>
        <v>-9.44590997532945E-11</v>
      </c>
    </row>
    <row r="482" spans="13:71" ht="12.75">
      <c r="M482" s="5">
        <v>1.38E-09</v>
      </c>
      <c r="N482" s="5">
        <v>2.45654707999</v>
      </c>
      <c r="O482" s="5">
        <v>7576.560073574</v>
      </c>
      <c r="P482">
        <f t="shared" si="42"/>
        <v>-1.3699591835410117E-09</v>
      </c>
      <c r="BP482" s="5">
        <v>4.8E-10</v>
      </c>
      <c r="BQ482" s="5">
        <v>0.12356889734</v>
      </c>
      <c r="BR482" s="5">
        <v>13362.4497067992</v>
      </c>
      <c r="BS482">
        <f t="shared" si="43"/>
        <v>-4.680024438466705E-10</v>
      </c>
    </row>
    <row r="483" spans="13:71" ht="12.75">
      <c r="M483" s="5">
        <v>1.03E-09</v>
      </c>
      <c r="N483" s="5">
        <v>0.40004073416</v>
      </c>
      <c r="O483" s="5">
        <v>90279.9231681032</v>
      </c>
      <c r="P483">
        <f t="shared" si="42"/>
        <v>4.70468162310433E-11</v>
      </c>
      <c r="BP483" s="5">
        <v>4.5E-10</v>
      </c>
      <c r="BQ483" s="5">
        <v>3.37963782356</v>
      </c>
      <c r="BR483" s="5">
        <v>10763.779709261</v>
      </c>
      <c r="BS483">
        <f t="shared" si="43"/>
        <v>-4.2863993400637524E-10</v>
      </c>
    </row>
    <row r="484" spans="13:71" ht="12.75">
      <c r="M484" s="5">
        <v>1.08E-09</v>
      </c>
      <c r="N484" s="5">
        <v>0.9898977494</v>
      </c>
      <c r="O484" s="5">
        <v>5636.0650166766</v>
      </c>
      <c r="P484">
        <f t="shared" si="42"/>
        <v>6.067672069548654E-10</v>
      </c>
      <c r="BP484" s="5">
        <v>4.7E-10</v>
      </c>
      <c r="BQ484" s="5">
        <v>5.50981287869</v>
      </c>
      <c r="BR484" s="5">
        <v>12779.4507954208</v>
      </c>
      <c r="BS484">
        <f t="shared" si="43"/>
        <v>4.110687330110425E-10</v>
      </c>
    </row>
    <row r="485" spans="13:71" ht="12.75">
      <c r="M485" s="5">
        <v>1.17E-09</v>
      </c>
      <c r="N485" s="5">
        <v>5.17362872063</v>
      </c>
      <c r="O485" s="5">
        <v>34520.3093093808</v>
      </c>
      <c r="P485">
        <f t="shared" si="42"/>
        <v>-4.0917821366967007E-10</v>
      </c>
      <c r="BP485" s="5">
        <v>6.2E-10</v>
      </c>
      <c r="BQ485" s="5">
        <v>5.45209070099</v>
      </c>
      <c r="BR485" s="5">
        <v>949.1756089698</v>
      </c>
      <c r="BS485">
        <f t="shared" si="43"/>
        <v>4.733169376378561E-10</v>
      </c>
    </row>
    <row r="486" spans="13:71" ht="12.75">
      <c r="M486" s="5">
        <v>1E-09</v>
      </c>
      <c r="N486" s="5">
        <v>3.95534628189</v>
      </c>
      <c r="O486" s="5">
        <v>5547.1993364596</v>
      </c>
      <c r="P486">
        <f t="shared" si="42"/>
        <v>-9.247131821995515E-10</v>
      </c>
      <c r="BP486" s="5">
        <v>6.1E-10</v>
      </c>
      <c r="BQ486" s="5">
        <v>2.93237974631</v>
      </c>
      <c r="BR486" s="5">
        <v>5791.4125575326</v>
      </c>
      <c r="BS486">
        <f t="shared" si="43"/>
        <v>1.6979672993267283E-10</v>
      </c>
    </row>
    <row r="487" spans="13:71" ht="12.75">
      <c r="M487" s="5">
        <v>9.8E-10</v>
      </c>
      <c r="N487" s="5">
        <v>1.28118280598</v>
      </c>
      <c r="O487" s="5">
        <v>21548.9623692918</v>
      </c>
      <c r="P487">
        <f t="shared" si="42"/>
        <v>8.725498508207495E-10</v>
      </c>
      <c r="BP487" s="5">
        <v>4.4E-10</v>
      </c>
      <c r="BQ487" s="5">
        <v>2.87440620802</v>
      </c>
      <c r="BR487" s="5">
        <v>8584.6616659008</v>
      </c>
      <c r="BS487">
        <f t="shared" si="43"/>
        <v>-5.058236499328477E-11</v>
      </c>
    </row>
    <row r="488" spans="13:71" ht="12.75">
      <c r="M488" s="5">
        <v>9.7E-10</v>
      </c>
      <c r="N488" s="5">
        <v>3.34717130592</v>
      </c>
      <c r="O488" s="5">
        <v>16310.9790457206</v>
      </c>
      <c r="P488">
        <f t="shared" si="42"/>
        <v>-2.3972386062575874E-11</v>
      </c>
      <c r="BP488" s="5">
        <v>4.6E-10</v>
      </c>
      <c r="BQ488" s="5">
        <v>4.0314179656</v>
      </c>
      <c r="BR488" s="5">
        <v>10667.8004820432</v>
      </c>
      <c r="BS488">
        <f t="shared" si="43"/>
        <v>-2.708231222627488E-10</v>
      </c>
    </row>
    <row r="489" spans="13:71" ht="12.75">
      <c r="M489" s="5">
        <v>9.8E-10</v>
      </c>
      <c r="N489" s="5">
        <v>4.37041908717</v>
      </c>
      <c r="O489" s="5">
        <v>34513.2630726828</v>
      </c>
      <c r="P489">
        <f t="shared" si="42"/>
        <v>5.040009825461234E-10</v>
      </c>
      <c r="BP489" s="5">
        <v>4.7E-10</v>
      </c>
      <c r="BQ489" s="5">
        <v>3.89902931422</v>
      </c>
      <c r="BR489" s="5">
        <v>3903.9113764198</v>
      </c>
      <c r="BS489">
        <f t="shared" si="43"/>
        <v>4.2628666810315464E-10</v>
      </c>
    </row>
    <row r="490" spans="13:71" ht="12.75">
      <c r="M490" s="5">
        <v>1.25E-09</v>
      </c>
      <c r="N490" s="5">
        <v>2.7216443296</v>
      </c>
      <c r="O490" s="5">
        <v>24065.8079227755</v>
      </c>
      <c r="P490">
        <f t="shared" si="42"/>
        <v>-6.558111551734227E-10</v>
      </c>
      <c r="BP490" s="5">
        <v>4.6E-10</v>
      </c>
      <c r="BQ490" s="5">
        <v>2.75700467329</v>
      </c>
      <c r="BR490" s="5">
        <v>6993.0088985497</v>
      </c>
      <c r="BS490">
        <f t="shared" si="43"/>
        <v>-2.083808231443698E-10</v>
      </c>
    </row>
    <row r="491" spans="13:71" ht="12.75">
      <c r="M491" s="5">
        <v>1.02E-09</v>
      </c>
      <c r="N491" s="5">
        <v>0.66938025772</v>
      </c>
      <c r="O491" s="5">
        <v>10239.5838660108</v>
      </c>
      <c r="P491">
        <f t="shared" si="42"/>
        <v>8.383951204844338E-10</v>
      </c>
      <c r="BP491" s="5">
        <v>4.5E-10</v>
      </c>
      <c r="BQ491" s="5">
        <v>1.933862933</v>
      </c>
      <c r="BR491" s="5">
        <v>206.1855484372</v>
      </c>
      <c r="BS491">
        <f t="shared" si="43"/>
        <v>-9.354034091380936E-12</v>
      </c>
    </row>
    <row r="492" spans="13:71" ht="12.75">
      <c r="M492" s="5">
        <v>1.19E-09</v>
      </c>
      <c r="N492" s="5">
        <v>1.21689479331</v>
      </c>
      <c r="O492" s="5">
        <v>1478.8665740644</v>
      </c>
      <c r="P492">
        <f t="shared" si="42"/>
        <v>-6.485875062884197E-10</v>
      </c>
      <c r="BP492" s="5">
        <v>4.7E-10</v>
      </c>
      <c r="BQ492" s="5">
        <v>2.57670800912</v>
      </c>
      <c r="BR492" s="5">
        <v>11492.542675792</v>
      </c>
      <c r="BS492">
        <f t="shared" si="43"/>
        <v>3.3086521197612883E-10</v>
      </c>
    </row>
    <row r="493" spans="13:71" ht="12.75">
      <c r="M493" s="5">
        <v>9.4E-10</v>
      </c>
      <c r="N493" s="5">
        <v>1.99595224256</v>
      </c>
      <c r="O493" s="5">
        <v>13362.4497067992</v>
      </c>
      <c r="P493">
        <f t="shared" si="42"/>
        <v>7.28095665108088E-11</v>
      </c>
      <c r="BP493" s="5">
        <v>4.4E-10</v>
      </c>
      <c r="BQ493" s="5">
        <v>3.62570223167</v>
      </c>
      <c r="BR493" s="5">
        <v>63658.8777508376</v>
      </c>
      <c r="BS493">
        <f t="shared" si="43"/>
        <v>3.746793961728625E-10</v>
      </c>
    </row>
    <row r="494" spans="13:71" ht="12.75">
      <c r="M494" s="5">
        <v>9.4E-10</v>
      </c>
      <c r="N494" s="5">
        <v>4.30965982872</v>
      </c>
      <c r="O494" s="5">
        <v>26880.3198130326</v>
      </c>
      <c r="P494">
        <f t="shared" si="42"/>
        <v>7.810760917196345E-10</v>
      </c>
      <c r="BP494" s="5">
        <v>5.1E-10</v>
      </c>
      <c r="BQ494" s="5">
        <v>0.84536826273</v>
      </c>
      <c r="BR494" s="5">
        <v>12345.739057544</v>
      </c>
      <c r="BS494">
        <f t="shared" si="43"/>
        <v>-4.388884156357833E-10</v>
      </c>
    </row>
    <row r="495" spans="13:71" ht="12.75">
      <c r="M495" s="5">
        <v>9.5E-10</v>
      </c>
      <c r="N495" s="5">
        <v>2.89807657534</v>
      </c>
      <c r="O495" s="5">
        <v>34911.412076091</v>
      </c>
      <c r="P495">
        <f t="shared" si="42"/>
        <v>1.6179406311574766E-10</v>
      </c>
      <c r="BP495" s="5">
        <v>4.3E-10</v>
      </c>
      <c r="BQ495" s="5">
        <v>0.01524970172</v>
      </c>
      <c r="BR495" s="5">
        <v>37853.8754993826</v>
      </c>
      <c r="BS495">
        <f t="shared" si="43"/>
        <v>-3.74112148626058E-10</v>
      </c>
    </row>
    <row r="496" spans="13:71" ht="12.75">
      <c r="M496" s="5">
        <v>1.06E-09</v>
      </c>
      <c r="N496" s="5">
        <v>1.0015665359</v>
      </c>
      <c r="O496" s="5">
        <v>16522.6597160022</v>
      </c>
      <c r="P496">
        <f t="shared" si="42"/>
        <v>-5.177886519563724E-10</v>
      </c>
      <c r="BP496" s="5">
        <v>4.1E-10</v>
      </c>
      <c r="BQ496" s="5">
        <v>3.27146326065</v>
      </c>
      <c r="BR496" s="5">
        <v>8858.3149443206</v>
      </c>
      <c r="BS496">
        <f t="shared" si="43"/>
        <v>-2.9422179258827327E-10</v>
      </c>
    </row>
    <row r="497" spans="13:71" ht="12.75">
      <c r="M497" s="5">
        <v>9.7E-10</v>
      </c>
      <c r="N497" s="5">
        <v>0.89642320201</v>
      </c>
      <c r="O497" s="5">
        <v>71980.6335747311</v>
      </c>
      <c r="P497">
        <f t="shared" si="42"/>
        <v>-6.550454247196577E-10</v>
      </c>
      <c r="BP497" s="5">
        <v>4.5E-10</v>
      </c>
      <c r="BQ497" s="5">
        <v>3.03765521215</v>
      </c>
      <c r="BR497" s="5">
        <v>65236.2212932854</v>
      </c>
      <c r="BS497">
        <f t="shared" si="43"/>
        <v>-2.6891483840411414E-10</v>
      </c>
    </row>
    <row r="498" spans="13:71" ht="12.75">
      <c r="M498" s="5">
        <v>1.16E-09</v>
      </c>
      <c r="N498" s="5">
        <v>4.19967201116</v>
      </c>
      <c r="O498" s="5">
        <v>206.7007372966</v>
      </c>
      <c r="P498">
        <f t="shared" si="42"/>
        <v>9.011703823796853E-10</v>
      </c>
      <c r="BP498" s="5">
        <v>4.7E-10</v>
      </c>
      <c r="BQ498" s="5">
        <v>1.44447548944</v>
      </c>
      <c r="BR498" s="5">
        <v>21393.5419698576</v>
      </c>
      <c r="BS498">
        <f t="shared" si="43"/>
        <v>5.999780974825806E-11</v>
      </c>
    </row>
    <row r="499" spans="13:71" ht="12.75">
      <c r="M499" s="5">
        <v>9.9E-10</v>
      </c>
      <c r="N499" s="5">
        <v>1.37437847718</v>
      </c>
      <c r="O499" s="5">
        <v>1039.0266107904</v>
      </c>
      <c r="P499">
        <f t="shared" si="42"/>
        <v>-8.971439209012885E-10</v>
      </c>
      <c r="BP499" s="5">
        <v>5.8E-10</v>
      </c>
      <c r="BQ499" s="5">
        <v>5.45843180927</v>
      </c>
      <c r="BR499" s="5">
        <v>1975.492545856</v>
      </c>
      <c r="BS499">
        <f t="shared" si="43"/>
        <v>5.184746257287249E-10</v>
      </c>
    </row>
    <row r="500" spans="13:71" ht="12.75">
      <c r="M500" s="5">
        <v>1.26E-09</v>
      </c>
      <c r="N500" s="5">
        <v>3.21642544972</v>
      </c>
      <c r="O500" s="5">
        <v>305281.943071048</v>
      </c>
      <c r="P500">
        <f t="shared" si="42"/>
        <v>-8.404396599633713E-10</v>
      </c>
      <c r="BP500" s="5">
        <v>5E-10</v>
      </c>
      <c r="BQ500" s="5">
        <v>2.13285524146</v>
      </c>
      <c r="BR500" s="5">
        <v>12573.2652469836</v>
      </c>
      <c r="BS500">
        <f t="shared" si="43"/>
        <v>3.966316247286834E-10</v>
      </c>
    </row>
    <row r="501" spans="13:71" ht="12.75">
      <c r="M501" s="5">
        <v>9.4E-10</v>
      </c>
      <c r="N501" s="5">
        <v>0.6899787606</v>
      </c>
      <c r="O501" s="5">
        <v>7834.1210726394</v>
      </c>
      <c r="P501">
        <f t="shared" si="42"/>
        <v>2.1267478277465548E-10</v>
      </c>
      <c r="BP501" s="5">
        <v>4.1E-10</v>
      </c>
      <c r="BQ501" s="5">
        <v>1.32190847146</v>
      </c>
      <c r="BR501" s="5">
        <v>2547.8375382324</v>
      </c>
      <c r="BS501">
        <f t="shared" si="43"/>
        <v>-2.731123067031248E-10</v>
      </c>
    </row>
    <row r="502" spans="13:71" ht="12.75">
      <c r="M502" s="5">
        <v>9.4E-10</v>
      </c>
      <c r="N502" s="5">
        <v>5.58132218606</v>
      </c>
      <c r="O502" s="5">
        <v>3104.9300594238</v>
      </c>
      <c r="P502">
        <f t="shared" si="42"/>
        <v>-9.399074038095982E-10</v>
      </c>
      <c r="BP502" s="5">
        <v>4.7E-10</v>
      </c>
      <c r="BQ502" s="5">
        <v>3.67579608544</v>
      </c>
      <c r="BR502" s="5">
        <v>28313.288804661</v>
      </c>
      <c r="BS502">
        <f t="shared" si="43"/>
        <v>2.894122262476911E-10</v>
      </c>
    </row>
    <row r="503" spans="13:71" ht="12.75">
      <c r="M503" s="5">
        <v>9.5E-10</v>
      </c>
      <c r="N503" s="5">
        <v>3.0382374111</v>
      </c>
      <c r="O503" s="5">
        <v>8982.810669309</v>
      </c>
      <c r="P503">
        <f t="shared" si="42"/>
        <v>-7.49628434260136E-10</v>
      </c>
      <c r="BP503" s="5">
        <v>4.1E-10</v>
      </c>
      <c r="BQ503" s="5">
        <v>2.24013475126</v>
      </c>
      <c r="BR503" s="5">
        <v>8273.8208670324</v>
      </c>
      <c r="BS503">
        <f t="shared" si="43"/>
        <v>4.0226113100337684E-10</v>
      </c>
    </row>
    <row r="504" spans="13:71" ht="12.75">
      <c r="M504" s="5">
        <v>1.08E-09</v>
      </c>
      <c r="N504" s="5">
        <v>0.52696637156</v>
      </c>
      <c r="O504" s="5">
        <v>276.7457718644</v>
      </c>
      <c r="P504">
        <f t="shared" si="42"/>
        <v>-5.024917078443525E-10</v>
      </c>
      <c r="BP504" s="5">
        <v>4.7E-10</v>
      </c>
      <c r="BQ504" s="5">
        <v>6.21438985953</v>
      </c>
      <c r="BR504" s="5">
        <v>10991.3058987006</v>
      </c>
      <c r="BS504">
        <f t="shared" si="43"/>
        <v>-3.550143610603052E-10</v>
      </c>
    </row>
    <row r="505" spans="13:71" ht="12.75">
      <c r="M505" s="5">
        <v>1.24E-09</v>
      </c>
      <c r="N505" s="5">
        <v>3.43899862683</v>
      </c>
      <c r="O505" s="5">
        <v>172146.97134054</v>
      </c>
      <c r="P505">
        <f t="shared" si="42"/>
        <v>1.239772005595489E-09</v>
      </c>
      <c r="BP505" s="5">
        <v>4.2E-10</v>
      </c>
      <c r="BQ505" s="5">
        <v>3.0163181735</v>
      </c>
      <c r="BR505" s="5">
        <v>853.196381752</v>
      </c>
      <c r="BS505">
        <f t="shared" si="43"/>
        <v>-1.20372804292003E-10</v>
      </c>
    </row>
    <row r="506" spans="13:71" ht="12.75">
      <c r="M506" s="5">
        <v>1.02E-09</v>
      </c>
      <c r="N506" s="5">
        <v>1.04031728553</v>
      </c>
      <c r="O506" s="5">
        <v>95143.1329209781</v>
      </c>
      <c r="P506">
        <f t="shared" si="42"/>
        <v>-3.3369425141283537E-10</v>
      </c>
      <c r="BP506" s="5">
        <v>5.6E-10</v>
      </c>
      <c r="BQ506" s="5">
        <v>1.09773690181</v>
      </c>
      <c r="BR506" s="5">
        <v>77376.2010224075</v>
      </c>
      <c r="BS506">
        <f t="shared" si="43"/>
        <v>4.2143117752312335E-10</v>
      </c>
    </row>
    <row r="507" spans="13:71" ht="12.75">
      <c r="M507" s="5">
        <v>1.04E-09</v>
      </c>
      <c r="N507" s="5">
        <v>3.39218586218</v>
      </c>
      <c r="O507" s="5">
        <v>290.972865866</v>
      </c>
      <c r="P507">
        <f t="shared" si="42"/>
        <v>5.612392953349607E-10</v>
      </c>
      <c r="BP507" s="5">
        <v>4E-10</v>
      </c>
      <c r="BQ507" s="5">
        <v>2.35698541041</v>
      </c>
      <c r="BR507" s="5">
        <v>2699.7348193176</v>
      </c>
      <c r="BS507">
        <f t="shared" si="43"/>
        <v>2.880242588332309E-10</v>
      </c>
    </row>
    <row r="508" spans="13:71" ht="12.75">
      <c r="M508" s="5">
        <v>1.1E-09</v>
      </c>
      <c r="N508" s="5">
        <v>3.68205877433</v>
      </c>
      <c r="O508" s="5">
        <v>22380.755800274</v>
      </c>
      <c r="P508">
        <f t="shared" si="42"/>
        <v>1.5171263512942454E-10</v>
      </c>
      <c r="BP508" s="5">
        <v>4.3E-10</v>
      </c>
      <c r="BQ508" s="5">
        <v>5.28030898459</v>
      </c>
      <c r="BR508" s="5">
        <v>17796.9591667858</v>
      </c>
      <c r="BS508">
        <f t="shared" si="43"/>
        <v>-6.777084932403082E-11</v>
      </c>
    </row>
    <row r="509" spans="13:71" ht="12.75">
      <c r="M509" s="5">
        <v>1.17E-09</v>
      </c>
      <c r="N509" s="5">
        <v>0.78475956902</v>
      </c>
      <c r="O509" s="5">
        <v>83286.9142695535</v>
      </c>
      <c r="P509">
        <f t="shared" si="42"/>
        <v>-1.01784397334929E-09</v>
      </c>
      <c r="BP509" s="5">
        <v>5.4E-10</v>
      </c>
      <c r="BQ509" s="5">
        <v>2.59175932091</v>
      </c>
      <c r="BR509" s="5">
        <v>22910.4467653685</v>
      </c>
      <c r="BS509">
        <f t="shared" si="43"/>
        <v>2.237419053760939E-10</v>
      </c>
    </row>
    <row r="510" spans="13:71" ht="12.75">
      <c r="M510" s="5">
        <v>8.3E-10</v>
      </c>
      <c r="N510" s="5">
        <v>0.18241793425</v>
      </c>
      <c r="O510" s="5">
        <v>15141.390794312</v>
      </c>
      <c r="P510">
        <f t="shared" si="42"/>
        <v>-5.4940176171110987E-11</v>
      </c>
      <c r="BP510" s="5">
        <v>5.4E-10</v>
      </c>
      <c r="BQ510" s="5">
        <v>0.88027764102</v>
      </c>
      <c r="BR510" s="5">
        <v>71960.3865832236</v>
      </c>
      <c r="BS510">
        <f t="shared" si="43"/>
        <v>-2.370321053388281E-10</v>
      </c>
    </row>
    <row r="511" spans="13:71" ht="12.75">
      <c r="M511" s="5">
        <v>8.9E-10</v>
      </c>
      <c r="N511" s="5">
        <v>4.45371820659</v>
      </c>
      <c r="O511" s="5">
        <v>792.7748884674</v>
      </c>
      <c r="P511">
        <f t="shared" si="42"/>
        <v>-7.080524657808988E-10</v>
      </c>
      <c r="BP511" s="5">
        <v>5.5E-10</v>
      </c>
      <c r="BQ511" s="5">
        <v>0.07988899477</v>
      </c>
      <c r="BR511" s="5">
        <v>83467.1563530172</v>
      </c>
      <c r="BS511">
        <f t="shared" si="43"/>
        <v>-2.0432025061542008E-10</v>
      </c>
    </row>
    <row r="512" spans="13:71" ht="12.75">
      <c r="M512" s="5">
        <v>8.2E-10</v>
      </c>
      <c r="N512" s="5">
        <v>4.80703651241</v>
      </c>
      <c r="O512" s="5">
        <v>6819.8803620868</v>
      </c>
      <c r="P512">
        <f t="shared" si="42"/>
        <v>-1.6657349583378232E-10</v>
      </c>
      <c r="BP512" s="5">
        <v>3.9E-10</v>
      </c>
      <c r="BQ512" s="5">
        <v>1.12867321442</v>
      </c>
      <c r="BR512" s="5">
        <v>9910.583327509</v>
      </c>
      <c r="BS512">
        <f t="shared" si="43"/>
        <v>-6.418555783244872E-11</v>
      </c>
    </row>
    <row r="513" spans="13:71" ht="12.75">
      <c r="M513" s="5">
        <v>8.7E-10</v>
      </c>
      <c r="N513" s="5">
        <v>3.43122851097</v>
      </c>
      <c r="O513" s="5">
        <v>27707.5424942948</v>
      </c>
      <c r="P513">
        <f t="shared" si="42"/>
        <v>-8.573254908788545E-10</v>
      </c>
      <c r="BP513" s="5">
        <v>4E-10</v>
      </c>
      <c r="BQ513" s="5">
        <v>1.35670430524</v>
      </c>
      <c r="BR513" s="5">
        <v>27177.8515292002</v>
      </c>
      <c r="BS513">
        <f t="shared" si="43"/>
        <v>3.6249063603796E-10</v>
      </c>
    </row>
    <row r="514" spans="13:71" ht="12.75">
      <c r="M514" s="5">
        <v>1.01E-09</v>
      </c>
      <c r="N514" s="5">
        <v>5.32081603011</v>
      </c>
      <c r="O514" s="5">
        <v>2301.58581590939</v>
      </c>
      <c r="P514">
        <f aca="true" t="shared" si="44" ref="P514:P559">M514*COS(N514+O514*$E$16)</f>
        <v>-2.395609989514017E-11</v>
      </c>
      <c r="BP514" s="5">
        <v>3.9E-10</v>
      </c>
      <c r="BQ514" s="5">
        <v>4.39624220245</v>
      </c>
      <c r="BR514" s="5">
        <v>5618.3198048614</v>
      </c>
      <c r="BS514">
        <f aca="true" t="shared" si="45" ref="BS514:BS526">BP514*COS(BQ514+BR514*$E$16)</f>
        <v>-2.1018617908084462E-10</v>
      </c>
    </row>
    <row r="515" spans="13:71" ht="12.75">
      <c r="M515" s="5">
        <v>8.2E-10</v>
      </c>
      <c r="N515" s="5">
        <v>0.87060089842</v>
      </c>
      <c r="O515" s="5">
        <v>10241.2022911672</v>
      </c>
      <c r="P515">
        <f t="shared" si="44"/>
        <v>7.605608055966627E-10</v>
      </c>
      <c r="BP515" s="5">
        <v>4.2E-10</v>
      </c>
      <c r="BQ515" s="5">
        <v>4.78798367468</v>
      </c>
      <c r="BR515" s="5">
        <v>7856.89627409019</v>
      </c>
      <c r="BS515">
        <f t="shared" si="45"/>
        <v>-4.1860455914366223E-10</v>
      </c>
    </row>
    <row r="516" spans="13:71" ht="12.75">
      <c r="M516" s="5">
        <v>8.6E-10</v>
      </c>
      <c r="N516" s="5">
        <v>4.61919461931</v>
      </c>
      <c r="O516" s="5">
        <v>36147.4098773004</v>
      </c>
      <c r="P516">
        <f t="shared" si="44"/>
        <v>-3.552123287422619E-10</v>
      </c>
      <c r="BP516" s="5">
        <v>4.7E-10</v>
      </c>
      <c r="BQ516" s="5">
        <v>2.75482175292</v>
      </c>
      <c r="BR516" s="5">
        <v>18202.2167166593</v>
      </c>
      <c r="BS516">
        <f t="shared" si="45"/>
        <v>1.8519516236889937E-10</v>
      </c>
    </row>
    <row r="517" spans="13:71" ht="12.75">
      <c r="M517" s="5">
        <v>9.5E-10</v>
      </c>
      <c r="N517" s="5">
        <v>2.87032884659</v>
      </c>
      <c r="O517" s="5">
        <v>23020.6530865879</v>
      </c>
      <c r="P517">
        <f t="shared" si="44"/>
        <v>-9.215317385723636E-10</v>
      </c>
      <c r="BP517" s="5">
        <v>3.9E-10</v>
      </c>
      <c r="BQ517" s="5">
        <v>1.97008298629</v>
      </c>
      <c r="BR517" s="5">
        <v>24491.4257925834</v>
      </c>
      <c r="BS517">
        <f t="shared" si="45"/>
        <v>-3.6975759020938055E-10</v>
      </c>
    </row>
    <row r="518" spans="13:71" ht="12.75">
      <c r="M518" s="5">
        <v>8.8E-10</v>
      </c>
      <c r="N518" s="5">
        <v>3.2113316569</v>
      </c>
      <c r="O518" s="5">
        <v>33326.5787331742</v>
      </c>
      <c r="P518">
        <f t="shared" si="44"/>
        <v>-8.426376707489047E-10</v>
      </c>
      <c r="BP518" s="5">
        <v>4.2E-10</v>
      </c>
      <c r="BQ518" s="5">
        <v>4.04346599946</v>
      </c>
      <c r="BR518" s="5">
        <v>7863.9425107882</v>
      </c>
      <c r="BS518">
        <f t="shared" si="45"/>
        <v>-3.124648729843637E-10</v>
      </c>
    </row>
    <row r="519" spans="13:71" ht="12.75">
      <c r="M519" s="5">
        <v>8E-10</v>
      </c>
      <c r="N519" s="5">
        <v>1.84900424847</v>
      </c>
      <c r="O519" s="5">
        <v>21424.4666443034</v>
      </c>
      <c r="P519">
        <f t="shared" si="44"/>
        <v>6.489366481667689E-10</v>
      </c>
      <c r="BP519" s="5">
        <v>3.8E-10</v>
      </c>
      <c r="BQ519" s="5">
        <v>0.49178679251</v>
      </c>
      <c r="BR519" s="5">
        <v>38650.173506199</v>
      </c>
      <c r="BS519">
        <f t="shared" si="45"/>
        <v>-2.2906496195754363E-10</v>
      </c>
    </row>
    <row r="520" spans="13:71" ht="12.75">
      <c r="M520" s="5">
        <v>1.01E-09</v>
      </c>
      <c r="N520" s="5">
        <v>4.18796434479</v>
      </c>
      <c r="O520" s="5">
        <v>30666.1549584328</v>
      </c>
      <c r="P520">
        <f t="shared" si="44"/>
        <v>9.516635637723511E-10</v>
      </c>
      <c r="BP520" s="5">
        <v>3.6E-10</v>
      </c>
      <c r="BQ520" s="5">
        <v>4.86047906533</v>
      </c>
      <c r="BR520" s="5">
        <v>4157.1984426122</v>
      </c>
      <c r="BS520">
        <f t="shared" si="45"/>
        <v>-2.577273410156448E-10</v>
      </c>
    </row>
    <row r="521" spans="13:71" ht="12.75">
      <c r="M521" s="5">
        <v>1.07E-09</v>
      </c>
      <c r="N521" s="5">
        <v>5.77864921649</v>
      </c>
      <c r="O521" s="5">
        <v>34115.1140692746</v>
      </c>
      <c r="P521">
        <f t="shared" si="44"/>
        <v>-1.0353487839231364E-09</v>
      </c>
      <c r="BP521" s="5">
        <v>4.3E-10</v>
      </c>
      <c r="BQ521" s="5">
        <v>5.64354880978</v>
      </c>
      <c r="BR521" s="5">
        <v>1062.9050485382</v>
      </c>
      <c r="BS521">
        <f t="shared" si="45"/>
        <v>2.2856195995469995E-10</v>
      </c>
    </row>
    <row r="522" spans="13:71" ht="12.75">
      <c r="M522" s="5">
        <v>1.04E-09</v>
      </c>
      <c r="N522" s="5">
        <v>1.08739495962</v>
      </c>
      <c r="O522" s="5">
        <v>6288.5987742988</v>
      </c>
      <c r="P522">
        <f t="shared" si="44"/>
        <v>-9.678848281491674E-10</v>
      </c>
      <c r="BP522" s="5">
        <v>3.6E-10</v>
      </c>
      <c r="BQ522" s="5">
        <v>3.98066313627</v>
      </c>
      <c r="BR522" s="5">
        <v>12565.1713789146</v>
      </c>
      <c r="BS522">
        <f t="shared" si="45"/>
        <v>-2.640465745713385E-10</v>
      </c>
    </row>
    <row r="523" spans="13:71" ht="12.75">
      <c r="M523" s="5">
        <v>1.1E-09</v>
      </c>
      <c r="N523" s="5">
        <v>3.32898859416</v>
      </c>
      <c r="O523" s="5">
        <v>72140.6286666873</v>
      </c>
      <c r="P523">
        <f t="shared" si="44"/>
        <v>9.069408119346334E-10</v>
      </c>
      <c r="BP523" s="5">
        <v>4.2E-10</v>
      </c>
      <c r="BQ523" s="5">
        <v>2.30753932657</v>
      </c>
      <c r="BR523" s="5">
        <v>6549.6828917132</v>
      </c>
      <c r="BS523">
        <f t="shared" si="45"/>
        <v>-1.5358081736300744E-10</v>
      </c>
    </row>
    <row r="524" spans="13:71" ht="12.75">
      <c r="M524" s="5">
        <v>8.7E-10</v>
      </c>
      <c r="N524" s="5">
        <v>4.40657711727</v>
      </c>
      <c r="O524" s="5">
        <v>142.1786270362</v>
      </c>
      <c r="P524">
        <f t="shared" si="44"/>
        <v>8.697273741627111E-10</v>
      </c>
      <c r="BP524" s="5">
        <v>4E-10</v>
      </c>
      <c r="BQ524" s="5">
        <v>5.3969491832</v>
      </c>
      <c r="BR524" s="5">
        <v>9498.2122306346</v>
      </c>
      <c r="BS524">
        <f t="shared" si="45"/>
        <v>3.5313489518624606E-10</v>
      </c>
    </row>
    <row r="525" spans="13:71" ht="12.75">
      <c r="M525" s="5">
        <v>1.09E-09</v>
      </c>
      <c r="N525" s="5">
        <v>1.94546030825</v>
      </c>
      <c r="O525" s="5">
        <v>24279.1070182135</v>
      </c>
      <c r="P525">
        <f t="shared" si="44"/>
        <v>1.0888267811230534E-09</v>
      </c>
      <c r="BP525" s="5">
        <v>4E-10</v>
      </c>
      <c r="BQ525" s="5">
        <v>3.30603243754</v>
      </c>
      <c r="BR525" s="5">
        <v>23536.1169576809</v>
      </c>
      <c r="BS525">
        <f t="shared" si="45"/>
        <v>-2.782707064984793E-10</v>
      </c>
    </row>
    <row r="526" spans="13:71" ht="12.75">
      <c r="M526" s="5">
        <v>8.7E-10</v>
      </c>
      <c r="N526" s="5">
        <v>4.32472045435</v>
      </c>
      <c r="O526" s="5">
        <v>742.9900605326</v>
      </c>
      <c r="P526">
        <f t="shared" si="44"/>
        <v>-1.0852532318977813E-10</v>
      </c>
      <c r="BP526" s="5">
        <v>5E-10</v>
      </c>
      <c r="BQ526" s="5">
        <v>6.15760345261</v>
      </c>
      <c r="BR526" s="5">
        <v>78051.3419138333</v>
      </c>
      <c r="BS526">
        <f t="shared" si="45"/>
        <v>3.4667691223555773E-10</v>
      </c>
    </row>
    <row r="527" spans="13:16" ht="12.75">
      <c r="M527" s="5">
        <v>1.07E-09</v>
      </c>
      <c r="N527" s="5">
        <v>4.91580912547</v>
      </c>
      <c r="O527" s="5">
        <v>277.0349937414</v>
      </c>
      <c r="P527">
        <f t="shared" si="44"/>
        <v>-7.426945409896533E-10</v>
      </c>
    </row>
    <row r="528" spans="13:16" ht="12.75">
      <c r="M528" s="5">
        <v>8.8E-10</v>
      </c>
      <c r="N528" s="5">
        <v>2.10180220766</v>
      </c>
      <c r="O528" s="5">
        <v>26482.1708096244</v>
      </c>
      <c r="P528">
        <f t="shared" si="44"/>
        <v>-2.339995053906628E-10</v>
      </c>
    </row>
    <row r="529" spans="13:16" ht="12.75">
      <c r="M529" s="5">
        <v>8.6E-10</v>
      </c>
      <c r="N529" s="5">
        <v>4.01887374432</v>
      </c>
      <c r="O529" s="5">
        <v>12491.3701014155</v>
      </c>
      <c r="P529">
        <f t="shared" si="44"/>
        <v>1.0763100828884283E-10</v>
      </c>
    </row>
    <row r="530" spans="13:16" ht="12.75">
      <c r="M530" s="5">
        <v>1.06E-09</v>
      </c>
      <c r="N530" s="5">
        <v>5.49092372854</v>
      </c>
      <c r="O530" s="5">
        <v>62883.3551395136</v>
      </c>
      <c r="P530">
        <f t="shared" si="44"/>
        <v>-1.0747055181077707E-10</v>
      </c>
    </row>
    <row r="531" spans="13:16" ht="12.75">
      <c r="M531" s="5">
        <v>8E-10</v>
      </c>
      <c r="N531" s="5">
        <v>6.19781316983</v>
      </c>
      <c r="O531" s="5">
        <v>6709.6740408674</v>
      </c>
      <c r="P531">
        <f t="shared" si="44"/>
        <v>-9.682281462657212E-11</v>
      </c>
    </row>
    <row r="532" spans="13:16" ht="12.75">
      <c r="M532" s="5">
        <v>8.8E-10</v>
      </c>
      <c r="N532" s="5">
        <v>2.09872810657</v>
      </c>
      <c r="O532" s="5">
        <v>238004.524157236</v>
      </c>
      <c r="P532">
        <f t="shared" si="44"/>
        <v>8.689451919380197E-10</v>
      </c>
    </row>
    <row r="533" spans="13:16" ht="12.75">
      <c r="M533" s="5">
        <v>8.3E-10</v>
      </c>
      <c r="N533" s="5">
        <v>4.90662164029</v>
      </c>
      <c r="O533" s="5">
        <v>51.28033786241</v>
      </c>
      <c r="P533">
        <f t="shared" si="44"/>
        <v>6.397707476292777E-10</v>
      </c>
    </row>
    <row r="534" spans="13:16" ht="12.75">
      <c r="M534" s="5">
        <v>9.5E-10</v>
      </c>
      <c r="N534" s="5">
        <v>4.13387406591</v>
      </c>
      <c r="O534" s="5">
        <v>18216.443810661</v>
      </c>
      <c r="P534">
        <f t="shared" si="44"/>
        <v>-8.725957492183392E-10</v>
      </c>
    </row>
    <row r="535" spans="13:16" ht="12.75">
      <c r="M535" s="5">
        <v>7.8E-10</v>
      </c>
      <c r="N535" s="5">
        <v>6.0694939168</v>
      </c>
      <c r="O535" s="5">
        <v>148434.534037691</v>
      </c>
      <c r="P535">
        <f t="shared" si="44"/>
        <v>7.232052391190666E-10</v>
      </c>
    </row>
    <row r="536" spans="13:16" ht="12.75">
      <c r="M536" s="5">
        <v>7.9E-10</v>
      </c>
      <c r="N536" s="5">
        <v>3.03048221644</v>
      </c>
      <c r="O536" s="5">
        <v>838.9692877504</v>
      </c>
      <c r="P536">
        <f t="shared" si="44"/>
        <v>-9.030010473379224E-11</v>
      </c>
    </row>
    <row r="537" spans="13:16" ht="12.75">
      <c r="M537" s="5">
        <v>7.4E-10</v>
      </c>
      <c r="N537" s="5">
        <v>5.49813051211</v>
      </c>
      <c r="O537" s="5">
        <v>29026.4852295077</v>
      </c>
      <c r="P537">
        <f t="shared" si="44"/>
        <v>-3.8150686453576975E-10</v>
      </c>
    </row>
    <row r="538" spans="13:16" ht="12.75">
      <c r="M538" s="5">
        <v>7.3E-10</v>
      </c>
      <c r="N538" s="5">
        <v>3.05008665738</v>
      </c>
      <c r="O538" s="5">
        <v>567.7186377304</v>
      </c>
      <c r="P538">
        <f t="shared" si="44"/>
        <v>-2.518467637089509E-10</v>
      </c>
    </row>
    <row r="539" spans="13:16" ht="12.75">
      <c r="M539" s="5">
        <v>8.4E-10</v>
      </c>
      <c r="N539" s="5">
        <v>0.46604373274</v>
      </c>
      <c r="O539" s="5">
        <v>45.1412196366</v>
      </c>
      <c r="P539">
        <f t="shared" si="44"/>
        <v>4.0344517126235323E-10</v>
      </c>
    </row>
    <row r="540" spans="13:16" ht="12.75">
      <c r="M540" s="5">
        <v>9.3E-10</v>
      </c>
      <c r="N540" s="5">
        <v>2.52267536308</v>
      </c>
      <c r="O540" s="5">
        <v>48739.859897083</v>
      </c>
      <c r="P540">
        <f t="shared" si="44"/>
        <v>5.269009986123211E-10</v>
      </c>
    </row>
    <row r="541" spans="13:16" ht="12.75">
      <c r="M541" s="5">
        <v>7.6E-10</v>
      </c>
      <c r="N541" s="5">
        <v>1.76418124905</v>
      </c>
      <c r="O541" s="5">
        <v>41654.9631159678</v>
      </c>
      <c r="P541">
        <f t="shared" si="44"/>
        <v>7.253905650775492E-10</v>
      </c>
    </row>
    <row r="542" spans="13:16" ht="12.75">
      <c r="M542" s="5">
        <v>6.7E-10</v>
      </c>
      <c r="N542" s="5">
        <v>5.77851227793</v>
      </c>
      <c r="O542" s="5">
        <v>6311.5250374592</v>
      </c>
      <c r="P542">
        <f t="shared" si="44"/>
        <v>-4.107648281341005E-10</v>
      </c>
    </row>
    <row r="543" spans="13:16" ht="12.75">
      <c r="M543" s="5">
        <v>6.2E-10</v>
      </c>
      <c r="N543" s="5">
        <v>3.32967880172</v>
      </c>
      <c r="O543" s="5">
        <v>15508.6151232744</v>
      </c>
      <c r="P543">
        <f t="shared" si="44"/>
        <v>-5.9734623375034E-10</v>
      </c>
    </row>
    <row r="544" spans="13:16" ht="12.75">
      <c r="M544" s="5">
        <v>7.9E-10</v>
      </c>
      <c r="N544" s="5">
        <v>5.59773841328</v>
      </c>
      <c r="O544" s="5">
        <v>71960.3865832236</v>
      </c>
      <c r="P544">
        <f t="shared" si="44"/>
        <v>7.08056853399958E-10</v>
      </c>
    </row>
    <row r="545" spans="13:16" ht="12.75">
      <c r="M545" s="5">
        <v>5.7E-10</v>
      </c>
      <c r="N545" s="5">
        <v>3.90629505268</v>
      </c>
      <c r="O545" s="5">
        <v>5999.2165311262</v>
      </c>
      <c r="P545">
        <f t="shared" si="44"/>
        <v>-4.4428680438486575E-10</v>
      </c>
    </row>
    <row r="546" spans="13:16" ht="12.75">
      <c r="M546" s="5">
        <v>6.1E-10</v>
      </c>
      <c r="N546" s="5">
        <v>0.05695043232</v>
      </c>
      <c r="O546" s="5">
        <v>7856.89627409019</v>
      </c>
      <c r="P546">
        <f t="shared" si="44"/>
        <v>-6.100972916519226E-11</v>
      </c>
    </row>
    <row r="547" spans="13:16" ht="12.75">
      <c r="M547" s="5">
        <v>6.1E-10</v>
      </c>
      <c r="N547" s="5">
        <v>5.63297958433</v>
      </c>
      <c r="O547" s="5">
        <v>7863.9425107882</v>
      </c>
      <c r="P547">
        <f t="shared" si="44"/>
        <v>-3.9904889597726785E-10</v>
      </c>
    </row>
    <row r="548" spans="13:16" ht="12.75">
      <c r="M548" s="5">
        <v>6.5E-10</v>
      </c>
      <c r="N548" s="5">
        <v>3.72178394016</v>
      </c>
      <c r="O548" s="5">
        <v>12573.2652469836</v>
      </c>
      <c r="P548">
        <f t="shared" si="44"/>
        <v>-4.050550946221495E-10</v>
      </c>
    </row>
    <row r="549" spans="13:16" ht="12.75">
      <c r="M549" s="5">
        <v>5.7E-10</v>
      </c>
      <c r="N549" s="5">
        <v>4.18217219541</v>
      </c>
      <c r="O549" s="5">
        <v>26087.9031415742</v>
      </c>
      <c r="P549">
        <f t="shared" si="44"/>
        <v>1.795871559466088E-10</v>
      </c>
    </row>
    <row r="550" spans="13:16" ht="12.75">
      <c r="M550" s="5">
        <v>6.6E-10</v>
      </c>
      <c r="N550" s="5">
        <v>3.92262333487</v>
      </c>
      <c r="O550" s="5">
        <v>69853.3520756812</v>
      </c>
      <c r="P550">
        <f t="shared" si="44"/>
        <v>-2.8580835654030804E-10</v>
      </c>
    </row>
    <row r="551" spans="13:16" ht="12.75">
      <c r="M551" s="5">
        <v>5.3E-10</v>
      </c>
      <c r="N551" s="5">
        <v>5.51119362045</v>
      </c>
      <c r="O551" s="5">
        <v>77710.2483497714</v>
      </c>
      <c r="P551">
        <f t="shared" si="44"/>
        <v>-1.6092684361219492E-10</v>
      </c>
    </row>
    <row r="552" spans="13:16" ht="12.75">
      <c r="M552" s="5">
        <v>5.3E-10</v>
      </c>
      <c r="N552" s="5">
        <v>4.88573986961</v>
      </c>
      <c r="O552" s="5">
        <v>77717.2945864694</v>
      </c>
      <c r="P552">
        <f t="shared" si="44"/>
        <v>1.1705989552984752E-10</v>
      </c>
    </row>
    <row r="553" spans="13:16" ht="12.75">
      <c r="M553" s="5">
        <v>6.2E-10</v>
      </c>
      <c r="N553" s="5">
        <v>2.88876342225</v>
      </c>
      <c r="O553" s="5">
        <v>9411.4646150872</v>
      </c>
      <c r="P553">
        <f t="shared" si="44"/>
        <v>-6.195543472295225E-10</v>
      </c>
    </row>
    <row r="554" spans="13:16" ht="12.75">
      <c r="M554" s="5">
        <v>5.1E-10</v>
      </c>
      <c r="N554" s="5">
        <v>1.12657183874</v>
      </c>
      <c r="O554" s="5">
        <v>82576.9812209952</v>
      </c>
      <c r="P554">
        <f t="shared" si="44"/>
        <v>4.948347382035204E-10</v>
      </c>
    </row>
    <row r="555" spans="13:16" ht="12.75">
      <c r="M555" s="5">
        <v>4.5E-10</v>
      </c>
      <c r="N555" s="5">
        <v>2.95671076719</v>
      </c>
      <c r="O555" s="5">
        <v>24602.6124348709</v>
      </c>
      <c r="P555">
        <f t="shared" si="44"/>
        <v>2.4636781806083843E-10</v>
      </c>
    </row>
    <row r="556" spans="13:16" ht="12.75">
      <c r="M556" s="5">
        <v>4E-10</v>
      </c>
      <c r="N556" s="5">
        <v>5.55145719241</v>
      </c>
      <c r="O556" s="5">
        <v>12565.1713789146</v>
      </c>
      <c r="P556">
        <f t="shared" si="44"/>
        <v>-2.718925438714112E-10</v>
      </c>
    </row>
    <row r="557" spans="13:16" ht="12.75">
      <c r="M557" s="5">
        <v>3.9E-10</v>
      </c>
      <c r="N557" s="5">
        <v>1.20838190039</v>
      </c>
      <c r="O557" s="5">
        <v>18842.1140029733</v>
      </c>
      <c r="P557">
        <f t="shared" si="44"/>
        <v>-1.2416273242786107E-10</v>
      </c>
    </row>
    <row r="558" spans="13:16" ht="12.75">
      <c r="M558" s="5">
        <v>4.5E-10</v>
      </c>
      <c r="N558" s="5">
        <v>3.18590558749</v>
      </c>
      <c r="O558" s="5">
        <v>45585.1728121874</v>
      </c>
      <c r="P558">
        <f t="shared" si="44"/>
        <v>-4.3267676342598563E-10</v>
      </c>
    </row>
    <row r="559" spans="13:16" ht="12.75">
      <c r="M559" s="5">
        <v>4.9E-10</v>
      </c>
      <c r="N559" s="5">
        <v>2.44790934886</v>
      </c>
      <c r="O559" s="5">
        <v>13613.804277336</v>
      </c>
      <c r="P559">
        <f t="shared" si="44"/>
        <v>-3.339219257758961E-10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&amp;CGP of Sun
Enter Universal Time</oddHeader>
    <oddFooter>&amp;CCopyright 2009-2011. Navigation Spreadsheets. All rights reserved.</oddFooter>
  </headerFooter>
  <ignoredErrors>
    <ignoredError sqref="C39:C40 B40" formula="1"/>
    <ignoredError sqref="B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2009-05-16T22:21:17Z</dcterms:created>
  <dcterms:modified xsi:type="dcterms:W3CDTF">2013-05-17T23:27:38Z</dcterms:modified>
  <cp:category/>
  <cp:version/>
  <cp:contentType/>
  <cp:contentStatus/>
</cp:coreProperties>
</file>