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0" windowWidth="19300" windowHeight="13000" tabRatio="645" activeTab="0"/>
  </bookViews>
  <sheets>
    <sheet name="Main" sheetId="1" r:id="rId1"/>
  </sheets>
  <definedNames/>
  <calcPr fullCalcOnLoad="1"/>
</workbook>
</file>

<file path=xl/sharedStrings.xml><?xml version="1.0" encoding="utf-8"?>
<sst xmlns="http://schemas.openxmlformats.org/spreadsheetml/2006/main" count="2790" uniqueCount="181">
  <si>
    <t>Rigil Kent.</t>
  </si>
  <si>
    <t>Sabik</t>
  </si>
  <si>
    <t>Schedar</t>
  </si>
  <si>
    <t>Shaula</t>
  </si>
  <si>
    <t>Sirius</t>
  </si>
  <si>
    <t>Spica</t>
  </si>
  <si>
    <t>Suhail</t>
  </si>
  <si>
    <t>Vega</t>
  </si>
  <si>
    <t>Zuben'ubi</t>
  </si>
  <si>
    <t>Number</t>
  </si>
  <si>
    <t>Magnitude</t>
  </si>
  <si>
    <t>0.1-1.2 Var</t>
  </si>
  <si>
    <t>Y =</t>
  </si>
  <si>
    <t>Year &lt;= -500</t>
  </si>
  <si>
    <t>2150 &lt; Year</t>
  </si>
  <si>
    <t>u =</t>
  </si>
  <si>
    <t>dT =</t>
  </si>
  <si>
    <t>-500 &lt; Year</t>
  </si>
  <si>
    <t>Year &lt;= 500</t>
  </si>
  <si>
    <t>500 &lt; Year</t>
  </si>
  <si>
    <t>Year &lt;= 1600</t>
  </si>
  <si>
    <t>1600 &lt; Year</t>
  </si>
  <si>
    <t>Year &lt;= 1700</t>
  </si>
  <si>
    <t>t =</t>
  </si>
  <si>
    <t>1700 &lt; Year</t>
  </si>
  <si>
    <t>Year &lt;= 1800</t>
  </si>
  <si>
    <t>1800 &lt; Year</t>
  </si>
  <si>
    <t>Year &lt;= 1860</t>
  </si>
  <si>
    <t>1860 &lt; Year</t>
  </si>
  <si>
    <t>Year &lt;= 1900</t>
  </si>
  <si>
    <t>1900 &lt; Year</t>
  </si>
  <si>
    <t>Year &lt;= 1920</t>
  </si>
  <si>
    <t>1920 &lt; Year</t>
  </si>
  <si>
    <t>Year &lt;= 1941</t>
  </si>
  <si>
    <t>SHA (+0.6')</t>
  </si>
  <si>
    <t>1941 &lt; Year</t>
  </si>
  <si>
    <t>Year &lt;= 1961</t>
  </si>
  <si>
    <t>1961 &lt; Year</t>
  </si>
  <si>
    <t>Year &lt;= 1986</t>
  </si>
  <si>
    <t>1986 &lt; Year</t>
  </si>
  <si>
    <t>Year &lt;= 2005</t>
  </si>
  <si>
    <t>2005 &lt; Year</t>
  </si>
  <si>
    <t>Year &lt;= 2050</t>
  </si>
  <si>
    <t>2050 &lt; Year</t>
  </si>
  <si>
    <t>Year &lt;= 2150</t>
  </si>
  <si>
    <t>T0</t>
  </si>
  <si>
    <t>##########</t>
  </si>
  <si>
    <t>Precession</t>
  </si>
  <si>
    <t>Zeta Deg</t>
  </si>
  <si>
    <t>Zeta Rad</t>
  </si>
  <si>
    <t>Z Deg</t>
  </si>
  <si>
    <t>Theta Deg</t>
  </si>
  <si>
    <t>Theta Rad</t>
  </si>
  <si>
    <t>Sun longitude</t>
  </si>
  <si>
    <t>L0</t>
  </si>
  <si>
    <t>M Rad</t>
  </si>
  <si>
    <t>M Deg</t>
  </si>
  <si>
    <t>c1</t>
  </si>
  <si>
    <t>c2</t>
  </si>
  <si>
    <t>c3</t>
  </si>
  <si>
    <t>C</t>
  </si>
  <si>
    <t>L Sun</t>
  </si>
  <si>
    <t>L Sun Deg</t>
  </si>
  <si>
    <t>L Sun Rad</t>
  </si>
  <si>
    <t>Aberration</t>
  </si>
  <si>
    <t>exc</t>
  </si>
  <si>
    <t>p</t>
  </si>
  <si>
    <t>p Deg</t>
  </si>
  <si>
    <t>p Rad</t>
  </si>
  <si>
    <t>epoch</t>
  </si>
  <si>
    <t>J2000.0</t>
  </si>
  <si>
    <t>Right Asc</t>
  </si>
  <si>
    <t>equinox</t>
  </si>
  <si>
    <t>mu_Rasc</t>
  </si>
  <si>
    <t>mu_Dec</t>
  </si>
  <si>
    <t>Proper</t>
  </si>
  <si>
    <t>motion</t>
  </si>
  <si>
    <t>RA_w_mu</t>
  </si>
  <si>
    <t>Dec_w_mu</t>
  </si>
  <si>
    <t>reference</t>
  </si>
  <si>
    <t>precession</t>
  </si>
  <si>
    <t>a, b, c</t>
  </si>
  <si>
    <t>Epoch</t>
  </si>
  <si>
    <t>Equinox</t>
  </si>
  <si>
    <t>current</t>
  </si>
  <si>
    <t>RA Rad</t>
  </si>
  <si>
    <t>Dec Rad</t>
  </si>
  <si>
    <t>nutation</t>
  </si>
  <si>
    <t>d RA Rad</t>
  </si>
  <si>
    <t>d Dec Rad</t>
  </si>
  <si>
    <t>NutEPS Rad</t>
  </si>
  <si>
    <t>aberration</t>
  </si>
  <si>
    <t>ap, an</t>
  </si>
  <si>
    <t>dp, dn</t>
  </si>
  <si>
    <t>kappa Rad</t>
  </si>
  <si>
    <t>final</t>
  </si>
  <si>
    <t>coordinates</t>
  </si>
  <si>
    <t>SHA</t>
  </si>
  <si>
    <t>Year</t>
  </si>
  <si>
    <t>Month</t>
  </si>
  <si>
    <t>Day</t>
  </si>
  <si>
    <t>Hours</t>
  </si>
  <si>
    <t>Minutes</t>
  </si>
  <si>
    <t>Seconds</t>
  </si>
  <si>
    <t>GHA</t>
  </si>
  <si>
    <t>Degrees</t>
  </si>
  <si>
    <t>Declination</t>
  </si>
  <si>
    <t>#########</t>
  </si>
  <si>
    <t>Day Fraction</t>
  </si>
  <si>
    <t>a</t>
  </si>
  <si>
    <t>b</t>
  </si>
  <si>
    <t>JDE</t>
  </si>
  <si>
    <t>JD</t>
  </si>
  <si>
    <t>Delta T</t>
  </si>
  <si>
    <t>DayF+DeltaT</t>
  </si>
  <si>
    <t>TAU</t>
  </si>
  <si>
    <t>T</t>
  </si>
  <si>
    <t>l0</t>
  </si>
  <si>
    <t>lp</t>
  </si>
  <si>
    <t>om</t>
  </si>
  <si>
    <t>dp</t>
  </si>
  <si>
    <t>NutPSI Deg</t>
  </si>
  <si>
    <t>NutPSI Rad</t>
  </si>
  <si>
    <t>de</t>
  </si>
  <si>
    <t>NutEPS Deg</t>
  </si>
  <si>
    <t>Eps0 Rad</t>
  </si>
  <si>
    <t>Eps Rad</t>
  </si>
  <si>
    <t>Deps</t>
  </si>
  <si>
    <t>g</t>
  </si>
  <si>
    <t>GAST Deg</t>
  </si>
  <si>
    <t>GHA Aries</t>
  </si>
  <si>
    <t>Acamar</t>
  </si>
  <si>
    <t>SHA =</t>
  </si>
  <si>
    <t>Achernar</t>
  </si>
  <si>
    <t>Acrux</t>
  </si>
  <si>
    <t>Adhara</t>
  </si>
  <si>
    <t>Aldebaran</t>
  </si>
  <si>
    <t>Alioth</t>
  </si>
  <si>
    <t>Alkaid</t>
  </si>
  <si>
    <t>Al Na'ir</t>
  </si>
  <si>
    <t>Alnilam</t>
  </si>
  <si>
    <t>Alphard</t>
  </si>
  <si>
    <t>Alphecca</t>
  </si>
  <si>
    <t>Alpheratz</t>
  </si>
  <si>
    <t>Altair</t>
  </si>
  <si>
    <t>Ankaa</t>
  </si>
  <si>
    <t>Antares</t>
  </si>
  <si>
    <t>Arcturus</t>
  </si>
  <si>
    <t>Atria</t>
  </si>
  <si>
    <t>Avior</t>
  </si>
  <si>
    <t>Bellatrix</t>
  </si>
  <si>
    <t>Betelgeuse</t>
  </si>
  <si>
    <t>Star</t>
  </si>
  <si>
    <t>Canopus</t>
  </si>
  <si>
    <t>Capella</t>
  </si>
  <si>
    <t>Deneb</t>
  </si>
  <si>
    <t>Denebola</t>
  </si>
  <si>
    <t>Diphda</t>
  </si>
  <si>
    <t>Dubhe</t>
  </si>
  <si>
    <t>Elnath</t>
  </si>
  <si>
    <t>Eltanin</t>
  </si>
  <si>
    <t>Enif</t>
  </si>
  <si>
    <t>Fomalhaut</t>
  </si>
  <si>
    <t>Gacrux</t>
  </si>
  <si>
    <t>Gienah</t>
  </si>
  <si>
    <t>Hadar</t>
  </si>
  <si>
    <t>Hamal</t>
  </si>
  <si>
    <t>Kaus Aust.</t>
  </si>
  <si>
    <t>Kochab</t>
  </si>
  <si>
    <t>Markab</t>
  </si>
  <si>
    <t>Menkar</t>
  </si>
  <si>
    <t>Menkent</t>
  </si>
  <si>
    <t>Miaplacidus</t>
  </si>
  <si>
    <t>Mirfak</t>
  </si>
  <si>
    <t>Nunki</t>
  </si>
  <si>
    <t>Peacock</t>
  </si>
  <si>
    <t>Pollux</t>
  </si>
  <si>
    <t>Procyon</t>
  </si>
  <si>
    <t>Rasalhague</t>
  </si>
  <si>
    <t>Regulus</t>
  </si>
  <si>
    <t>Rigel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</si>
</sst>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"/>
    <numFmt numFmtId="166" formatCode="00.0"/>
  </numFmts>
  <fonts count="4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5"/>
      <color indexed="12"/>
      <name val="Verdana"/>
      <family val="0"/>
    </font>
    <font>
      <u val="single"/>
      <sz val="15"/>
      <color indexed="61"/>
      <name val="Verdana"/>
      <family val="0"/>
    </font>
    <font>
      <sz val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49" fontId="3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49" fontId="2" fillId="0" borderId="0" xfId="0" applyNumberFormat="1" applyFont="1" applyAlignment="1">
      <alignment horizontal="right"/>
    </xf>
    <xf numFmtId="49" fontId="1" fillId="33" borderId="0" xfId="0" applyNumberFormat="1" applyFont="1" applyFill="1" applyAlignment="1">
      <alignment horizontal="left"/>
    </xf>
    <xf numFmtId="2" fontId="0" fillId="0" borderId="0" xfId="0" applyNumberFormat="1" applyFont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11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1" fontId="3" fillId="0" borderId="0" xfId="0" applyNumberFormat="1" applyFont="1" applyFill="1" applyAlignment="1">
      <alignment horizontal="left"/>
    </xf>
    <xf numFmtId="164" fontId="3" fillId="0" borderId="0" xfId="0" applyNumberFormat="1" applyFont="1" applyFill="1" applyAlignment="1">
      <alignment horizontal="left"/>
    </xf>
    <xf numFmtId="1" fontId="2" fillId="34" borderId="10" xfId="0" applyNumberFormat="1" applyFont="1" applyFill="1" applyBorder="1" applyAlignment="1" applyProtection="1">
      <alignment horizontal="left"/>
      <protection locked="0"/>
    </xf>
    <xf numFmtId="165" fontId="2" fillId="34" borderId="10" xfId="0" applyNumberFormat="1" applyFont="1" applyFill="1" applyBorder="1" applyAlignment="1" applyProtection="1">
      <alignment horizontal="left"/>
      <protection locked="0"/>
    </xf>
    <xf numFmtId="1" fontId="0" fillId="35" borderId="10" xfId="0" applyNumberFormat="1" applyFill="1" applyBorder="1" applyAlignment="1">
      <alignment horizontal="left"/>
    </xf>
    <xf numFmtId="166" fontId="0" fillId="35" borderId="10" xfId="0" applyNumberFormat="1" applyFill="1" applyBorder="1" applyAlignment="1">
      <alignment horizontal="left"/>
    </xf>
    <xf numFmtId="166" fontId="2" fillId="34" borderId="10" xfId="0" applyNumberFormat="1" applyFont="1" applyFill="1" applyBorder="1" applyAlignment="1" applyProtection="1">
      <alignment horizontal="left"/>
      <protection locked="0"/>
    </xf>
    <xf numFmtId="1" fontId="0" fillId="35" borderId="10" xfId="0" applyNumberFormat="1" applyFont="1" applyFill="1" applyBorder="1" applyAlignment="1">
      <alignment horizontal="left"/>
    </xf>
    <xf numFmtId="166" fontId="0" fillId="35" borderId="10" xfId="0" applyNumberFormat="1" applyFont="1" applyFill="1" applyBorder="1" applyAlignment="1">
      <alignment horizontal="left"/>
    </xf>
    <xf numFmtId="1" fontId="0" fillId="36" borderId="10" xfId="0" applyNumberFormat="1" applyFont="1" applyFill="1" applyBorder="1" applyAlignment="1">
      <alignment horizontal="left"/>
    </xf>
    <xf numFmtId="166" fontId="0" fillId="36" borderId="10" xfId="0" applyNumberFormat="1" applyFont="1" applyFill="1" applyBorder="1" applyAlignment="1">
      <alignment horizontal="left"/>
    </xf>
    <xf numFmtId="0" fontId="0" fillId="35" borderId="10" xfId="0" applyNumberFormat="1" applyFont="1" applyFill="1" applyBorder="1" applyAlignment="1">
      <alignment horizontal="right"/>
    </xf>
    <xf numFmtId="49" fontId="1" fillId="33" borderId="10" xfId="0" applyNumberFormat="1" applyFont="1" applyFill="1" applyBorder="1" applyAlignment="1">
      <alignment/>
    </xf>
    <xf numFmtId="1" fontId="0" fillId="33" borderId="10" xfId="0" applyNumberFormat="1" applyFont="1" applyFill="1" applyBorder="1" applyAlignment="1">
      <alignment horizontal="left"/>
    </xf>
    <xf numFmtId="49" fontId="0" fillId="37" borderId="10" xfId="0" applyNumberFormat="1" applyFont="1" applyFill="1" applyBorder="1" applyAlignment="1">
      <alignment/>
    </xf>
    <xf numFmtId="1" fontId="1" fillId="33" borderId="10" xfId="0" applyNumberFormat="1" applyFont="1" applyFill="1" applyBorder="1" applyAlignment="1">
      <alignment horizontal="left"/>
    </xf>
    <xf numFmtId="164" fontId="0" fillId="37" borderId="10" xfId="0" applyNumberFormat="1" applyFont="1" applyFill="1" applyBorder="1" applyAlignment="1">
      <alignment horizontal="left"/>
    </xf>
    <xf numFmtId="164" fontId="0" fillId="36" borderId="10" xfId="0" applyNumberFormat="1" applyFont="1" applyFill="1" applyBorder="1" applyAlignment="1">
      <alignment horizontal="left"/>
    </xf>
    <xf numFmtId="1" fontId="0" fillId="36" borderId="10" xfId="0" applyNumberFormat="1" applyFill="1" applyBorder="1" applyAlignment="1">
      <alignment horizontal="left"/>
    </xf>
    <xf numFmtId="166" fontId="0" fillId="36" borderId="10" xfId="0" applyNumberFormat="1" applyFill="1" applyBorder="1" applyAlignment="1">
      <alignment horizontal="left"/>
    </xf>
    <xf numFmtId="0" fontId="0" fillId="35" borderId="10" xfId="0" applyNumberFormat="1" applyFill="1" applyBorder="1" applyAlignment="1">
      <alignment horizontal="right"/>
    </xf>
    <xf numFmtId="49" fontId="0" fillId="37" borderId="10" xfId="0" applyNumberFormat="1" applyFont="1" applyFill="1" applyBorder="1" applyAlignment="1">
      <alignment horizontal="left"/>
    </xf>
    <xf numFmtId="164" fontId="0" fillId="35" borderId="10" xfId="0" applyNumberForma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88"/>
  <sheetViews>
    <sheetView tabSelected="1" zoomScale="150" zoomScaleNormal="150" workbookViewId="0" topLeftCell="A266">
      <selection activeCell="D2" sqref="D2"/>
    </sheetView>
  </sheetViews>
  <sheetFormatPr defaultColWidth="11.00390625" defaultRowHeight="12.75"/>
  <cols>
    <col min="1" max="1" width="12.00390625" style="0" customWidth="1"/>
    <col min="20" max="20" width="12.00390625" style="0" bestFit="1" customWidth="1"/>
  </cols>
  <sheetData>
    <row r="1" spans="1:10" ht="12.75">
      <c r="A1" s="1" t="s">
        <v>98</v>
      </c>
      <c r="B1" s="1" t="s">
        <v>99</v>
      </c>
      <c r="C1" s="1" t="s">
        <v>100</v>
      </c>
      <c r="D1" s="1" t="s">
        <v>101</v>
      </c>
      <c r="E1" s="1" t="s">
        <v>102</v>
      </c>
      <c r="F1" s="1" t="s">
        <v>103</v>
      </c>
      <c r="J1" t="s">
        <v>113</v>
      </c>
    </row>
    <row r="2" spans="1:6" ht="12.75">
      <c r="A2" s="20">
        <v>2013</v>
      </c>
      <c r="B2" s="21">
        <v>5</v>
      </c>
      <c r="C2" s="21">
        <v>19</v>
      </c>
      <c r="D2" s="21">
        <v>2</v>
      </c>
      <c r="E2" s="21">
        <v>0</v>
      </c>
      <c r="F2" s="21">
        <v>0</v>
      </c>
    </row>
    <row r="3" spans="10:11" ht="12.75">
      <c r="J3" t="s">
        <v>12</v>
      </c>
      <c r="K3">
        <f>A2+(B2-0.5)/12</f>
        <v>2013.375</v>
      </c>
    </row>
    <row r="4" spans="1:3" ht="12.75">
      <c r="A4" s="7" t="s">
        <v>130</v>
      </c>
      <c r="B4" s="2" t="s">
        <v>105</v>
      </c>
      <c r="C4" s="2" t="s">
        <v>102</v>
      </c>
    </row>
    <row r="5" spans="1:12" s="5" customFormat="1" ht="12.75">
      <c r="A5" s="9">
        <f>$C$370</f>
        <v>266.91155973332934</v>
      </c>
      <c r="B5" s="22">
        <f>TRUNC(A5)</f>
        <v>266</v>
      </c>
      <c r="C5" s="23">
        <f>60*ABS(A5-B5)</f>
        <v>54.69358399976045</v>
      </c>
      <c r="D5"/>
      <c r="E5"/>
      <c r="F5"/>
      <c r="J5" s="10" t="s">
        <v>13</v>
      </c>
      <c r="K5" s="10" t="s">
        <v>14</v>
      </c>
      <c r="L5" s="11" t="b">
        <f>OR(A2&lt;=-500,A2&gt;2150)</f>
        <v>0</v>
      </c>
    </row>
    <row r="6" spans="10:11" ht="12.75">
      <c r="J6" t="s">
        <v>15</v>
      </c>
      <c r="K6">
        <f>(A2-1820)/100</f>
        <v>1.93</v>
      </c>
    </row>
    <row r="7" spans="1:12" ht="12.75">
      <c r="A7" s="3" t="s">
        <v>107</v>
      </c>
      <c r="B7" s="3" t="s">
        <v>107</v>
      </c>
      <c r="C7" s="3" t="s">
        <v>107</v>
      </c>
      <c r="D7" s="3" t="s">
        <v>107</v>
      </c>
      <c r="E7" s="3" t="s">
        <v>107</v>
      </c>
      <c r="F7" s="3" t="s">
        <v>107</v>
      </c>
      <c r="J7" t="s">
        <v>16</v>
      </c>
      <c r="K7">
        <f>-20+32*K6*K6</f>
        <v>99.1968</v>
      </c>
      <c r="L7">
        <f>K7*L5</f>
        <v>0</v>
      </c>
    </row>
    <row r="8" spans="1:6" ht="12.75">
      <c r="A8" s="3"/>
      <c r="B8" s="3"/>
      <c r="C8" s="3"/>
      <c r="D8" s="3"/>
      <c r="E8" s="3"/>
      <c r="F8" s="3"/>
    </row>
    <row r="9" spans="1:12" ht="12.75">
      <c r="A9" s="30" t="s">
        <v>152</v>
      </c>
      <c r="B9" s="31" t="s">
        <v>9</v>
      </c>
      <c r="C9" s="32" t="s">
        <v>10</v>
      </c>
      <c r="D9" s="6" t="s">
        <v>132</v>
      </c>
      <c r="E9" s="18" t="s">
        <v>105</v>
      </c>
      <c r="F9" s="19" t="s">
        <v>102</v>
      </c>
      <c r="J9" s="12" t="s">
        <v>17</v>
      </c>
      <c r="K9" t="s">
        <v>18</v>
      </c>
      <c r="L9" t="b">
        <f>AND(-500&lt;A2,A2&lt;=500)</f>
        <v>0</v>
      </c>
    </row>
    <row r="10" spans="1:12" ht="12.75">
      <c r="A10" s="3" t="s">
        <v>104</v>
      </c>
      <c r="B10" s="3" t="s">
        <v>105</v>
      </c>
      <c r="C10" s="3" t="s">
        <v>102</v>
      </c>
      <c r="E10" s="20">
        <v>13</v>
      </c>
      <c r="F10" s="24">
        <v>40.2</v>
      </c>
      <c r="J10" s="10" t="s">
        <v>15</v>
      </c>
      <c r="K10" s="11">
        <f>K3/100</f>
        <v>20.13375</v>
      </c>
      <c r="L10" s="11"/>
    </row>
    <row r="11" spans="1:22" s="8" customFormat="1" ht="12.75">
      <c r="A11" s="8">
        <f>($C$370+E10+F10/60)-INT(($C$370+E10+F10/60)/360)*360</f>
        <v>280.58155973332936</v>
      </c>
      <c r="B11" s="25">
        <f>TRUNC(A11)</f>
        <v>280</v>
      </c>
      <c r="C11" s="26">
        <f>(A11-B11)*60</f>
        <v>34.893583999761404</v>
      </c>
      <c r="D11"/>
      <c r="E11"/>
      <c r="F11"/>
      <c r="J11" t="s">
        <v>16</v>
      </c>
      <c r="K11">
        <f>10583.6+K10*(-1014.41+K10*(33.78311+K10*(-5.952053+K10*(-0.1798452+K10*(0.022174192+0.0090316521*K10)))))</f>
        <v>600695.70847695</v>
      </c>
      <c r="L11">
        <f>K11*L9</f>
        <v>0</v>
      </c>
      <c r="M11" s="8" t="s">
        <v>82</v>
      </c>
      <c r="N11" s="8" t="s">
        <v>70</v>
      </c>
      <c r="O11" s="8" t="s">
        <v>75</v>
      </c>
      <c r="P11" s="8" t="s">
        <v>76</v>
      </c>
      <c r="V11" s="8" t="s">
        <v>94</v>
      </c>
    </row>
    <row r="12" spans="1:24" ht="12.75">
      <c r="A12" s="3"/>
      <c r="B12" s="3"/>
      <c r="C12" s="3"/>
      <c r="D12" s="3"/>
      <c r="E12" s="3"/>
      <c r="F12" s="3"/>
      <c r="M12" t="s">
        <v>83</v>
      </c>
      <c r="N12" t="s">
        <v>70</v>
      </c>
      <c r="O12" t="s">
        <v>79</v>
      </c>
      <c r="P12" t="s">
        <v>72</v>
      </c>
      <c r="Q12" t="s">
        <v>80</v>
      </c>
      <c r="R12" t="s">
        <v>84</v>
      </c>
      <c r="S12" t="s">
        <v>69</v>
      </c>
      <c r="T12" t="s">
        <v>87</v>
      </c>
      <c r="U12" t="s">
        <v>91</v>
      </c>
      <c r="V12" s="15">
        <v>9.93650849745E-05</v>
      </c>
      <c r="W12" t="s">
        <v>95</v>
      </c>
      <c r="X12" t="s">
        <v>96</v>
      </c>
    </row>
    <row r="13" spans="1:24" ht="12.75">
      <c r="A13" s="3" t="s">
        <v>107</v>
      </c>
      <c r="B13" s="3" t="s">
        <v>107</v>
      </c>
      <c r="C13" s="3" t="s">
        <v>107</v>
      </c>
      <c r="D13" s="3" t="s">
        <v>107</v>
      </c>
      <c r="E13" s="3" t="s">
        <v>107</v>
      </c>
      <c r="F13" s="3" t="s">
        <v>107</v>
      </c>
      <c r="J13" t="s">
        <v>19</v>
      </c>
      <c r="K13" t="s">
        <v>20</v>
      </c>
      <c r="L13" t="b">
        <f>AND(500&lt;A2,A2&lt;=1600)</f>
        <v>0</v>
      </c>
      <c r="M13" s="3" t="s">
        <v>107</v>
      </c>
      <c r="N13" s="3" t="s">
        <v>131</v>
      </c>
      <c r="O13" s="3" t="s">
        <v>107</v>
      </c>
      <c r="P13" s="3" t="s">
        <v>107</v>
      </c>
      <c r="Q13" s="3" t="s">
        <v>107</v>
      </c>
      <c r="R13" s="3" t="s">
        <v>107</v>
      </c>
      <c r="S13" s="3" t="s">
        <v>107</v>
      </c>
      <c r="T13" s="3" t="s">
        <v>131</v>
      </c>
      <c r="U13" s="3" t="s">
        <v>107</v>
      </c>
      <c r="V13" s="3" t="s">
        <v>107</v>
      </c>
      <c r="W13" s="3" t="s">
        <v>107</v>
      </c>
      <c r="X13" s="3" t="s">
        <v>107</v>
      </c>
    </row>
    <row r="14" spans="1:24" ht="12.75">
      <c r="A14" s="3"/>
      <c r="B14" s="3"/>
      <c r="C14" s="3"/>
      <c r="D14" s="3"/>
      <c r="E14" s="3"/>
      <c r="F14" s="3"/>
      <c r="J14" t="s">
        <v>15</v>
      </c>
      <c r="K14">
        <f>(K3-1000)/100</f>
        <v>10.13375</v>
      </c>
      <c r="M14" s="16" t="s">
        <v>71</v>
      </c>
      <c r="N14" s="16" t="s">
        <v>106</v>
      </c>
      <c r="O14" s="16" t="s">
        <v>73</v>
      </c>
      <c r="P14" s="16" t="s">
        <v>74</v>
      </c>
      <c r="Q14" t="s">
        <v>81</v>
      </c>
      <c r="R14" t="s">
        <v>71</v>
      </c>
      <c r="S14" t="s">
        <v>85</v>
      </c>
      <c r="T14" t="s">
        <v>88</v>
      </c>
      <c r="U14" t="s">
        <v>92</v>
      </c>
      <c r="V14" t="s">
        <v>93</v>
      </c>
      <c r="W14" t="s">
        <v>71</v>
      </c>
      <c r="X14" t="s">
        <v>106</v>
      </c>
    </row>
    <row r="15" spans="1:24" ht="12.75">
      <c r="A15" s="30" t="s">
        <v>131</v>
      </c>
      <c r="B15" s="33">
        <v>7</v>
      </c>
      <c r="C15" s="34">
        <v>3.2</v>
      </c>
      <c r="D15" s="6" t="s">
        <v>132</v>
      </c>
      <c r="E15" s="27">
        <f>TRUNC(W18)</f>
        <v>315</v>
      </c>
      <c r="F15" s="28">
        <f>ABS(W18-E15)*60</f>
        <v>18.814472604731236</v>
      </c>
      <c r="J15" t="s">
        <v>16</v>
      </c>
      <c r="K15">
        <f>1574.2+K14*(-556.01+K14*(71.23472+K14*(0.319781+K14*(-0.8503463+K14*(-0.005050998+0.0083572073*K14)))))</f>
        <v>3131.118828301381</v>
      </c>
      <c r="L15">
        <f>K15*L13</f>
        <v>0</v>
      </c>
      <c r="M15" s="16">
        <v>2</v>
      </c>
      <c r="N15" s="16">
        <v>-40</v>
      </c>
      <c r="O15" s="16">
        <v>-0.0446</v>
      </c>
      <c r="P15" s="16">
        <v>0.019</v>
      </c>
      <c r="Q15">
        <f>COS(P18)*SIN(O18+$B$375)</f>
        <v>0.5359556661045931</v>
      </c>
      <c r="R15">
        <f>DEGREES(ATAN2(Q16,Q15))+$C$375</f>
        <v>44.69231251084268</v>
      </c>
      <c r="S15">
        <f>RADIANS(R16)</f>
        <v>0.7800280036444588</v>
      </c>
      <c r="T15">
        <f>(COS($D$367)+SIN($D$367)*SIN(S15)*TAN(S18))*$A$364-COS(S15)*TAN(S18)*$A$367</f>
        <v>1.8621044200644667E-05</v>
      </c>
      <c r="U15">
        <f>COS(S15)*COS($D$388)*COS($D$367)+SIN(S15)*SIN($D$388)</f>
        <v>0.5362281101271539</v>
      </c>
      <c r="V15">
        <f>COS($D$388)*COS($D$367)*(TAN($D$367)*COS(S18)-SIN(S15)*SIN(S18))+COS(S15)*SIN(S18)*SIN($D$388)</f>
        <v>-0.6113900685640992</v>
      </c>
      <c r="W15">
        <f>DEGREES(U18+T15+S15)</f>
        <v>44.686425456587806</v>
      </c>
      <c r="X15">
        <f>DEGREES(V18+T18+S18)</f>
        <v>-40.25202224882435</v>
      </c>
    </row>
    <row r="16" spans="1:22" ht="12.75">
      <c r="A16" s="3" t="s">
        <v>104</v>
      </c>
      <c r="B16" s="3" t="s">
        <v>105</v>
      </c>
      <c r="C16" s="3" t="s">
        <v>102</v>
      </c>
      <c r="D16" s="3" t="s">
        <v>106</v>
      </c>
      <c r="E16" s="3" t="s">
        <v>105</v>
      </c>
      <c r="F16" s="3" t="s">
        <v>102</v>
      </c>
      <c r="M16" s="16">
        <v>58</v>
      </c>
      <c r="N16" s="16">
        <v>-18</v>
      </c>
      <c r="O16" t="s">
        <v>77</v>
      </c>
      <c r="P16" t="s">
        <v>78</v>
      </c>
      <c r="Q16">
        <f>COS($F$375)*COS(P18)*COS(O18+$B$375)-SIN($F$375)*SIN(P18)</f>
        <v>0.5433665307948085</v>
      </c>
      <c r="R16">
        <f>R15-360*INT(R15/360)</f>
        <v>44.69231251084268</v>
      </c>
      <c r="U16">
        <f>COS(S15)*COS($D$383)*COS($D$367)+SIN(S15)*SIN($D$383)</f>
        <v>0.9411847210544716</v>
      </c>
      <c r="V16">
        <f>COS($D$383)*COS($D$367)*(TAN($D$367)*COS(S18)-SIN(S15)*SIN(S18))+COS(S15)*SIN(S18)*SIN($D$383)</f>
        <v>-0.011887481942814748</v>
      </c>
    </row>
    <row r="17" spans="1:23" s="8" customFormat="1" ht="12.75">
      <c r="A17" s="8">
        <f>($C$370+E15+F15/60)-INT(($C$370+E15+F15/60)/360)*360</f>
        <v>222.22513427674153</v>
      </c>
      <c r="B17" s="25">
        <f>TRUNC(A17)</f>
        <v>222</v>
      </c>
      <c r="C17" s="26">
        <f>(A17-B17)*60</f>
        <v>13.508056604491685</v>
      </c>
      <c r="D17" s="29" t="str">
        <f>IF(X15&gt;=0,"N","S")</f>
        <v>S</v>
      </c>
      <c r="E17" s="25">
        <f>ABS(TRUNC(X15))</f>
        <v>40</v>
      </c>
      <c r="F17" s="26">
        <f>ABS(X15-TRUNC(X15))*60</f>
        <v>15.121334929461199</v>
      </c>
      <c r="J17" t="s">
        <v>21</v>
      </c>
      <c r="K17" t="s">
        <v>22</v>
      </c>
      <c r="L17" t="b">
        <f>AND(1600&lt;A2,A2&lt;=1700)</f>
        <v>0</v>
      </c>
      <c r="M17" s="17">
        <v>15.696</v>
      </c>
      <c r="N17" s="17">
        <v>-16.97</v>
      </c>
      <c r="O17" s="14">
        <f>M18+O15/3600*$A$361</f>
        <v>44.56523425229913</v>
      </c>
      <c r="P17" s="14">
        <f>N18+P15/3600*$A$361</f>
        <v>-40.304643278881784</v>
      </c>
      <c r="Q17" s="14">
        <f>SIN($F$375)*COS(P18)*COS(O18+$B$375)+COS($F$375)*SIN(P18)</f>
        <v>-0.6461457553697898</v>
      </c>
      <c r="R17" s="14" t="s">
        <v>106</v>
      </c>
      <c r="S17" s="8" t="s">
        <v>86</v>
      </c>
      <c r="T17" s="8" t="s">
        <v>89</v>
      </c>
      <c r="U17" s="8" t="s">
        <v>88</v>
      </c>
      <c r="V17" s="8" t="s">
        <v>89</v>
      </c>
      <c r="W17" s="8" t="s">
        <v>97</v>
      </c>
    </row>
    <row r="18" spans="1:23" ht="12.75">
      <c r="A18" s="3"/>
      <c r="B18" s="3"/>
      <c r="C18" s="3"/>
      <c r="D18" s="3"/>
      <c r="E18" s="3"/>
      <c r="F18" s="3"/>
      <c r="J18" t="s">
        <v>23</v>
      </c>
      <c r="K18">
        <f>K3-1600</f>
        <v>413.375</v>
      </c>
      <c r="M18" s="13">
        <f>(M15+M16/60+M17/3600)*15</f>
        <v>44.565400000000004</v>
      </c>
      <c r="N18" s="13">
        <f>N15+N16/60+N17/3600</f>
        <v>-40.304713888888884</v>
      </c>
      <c r="O18">
        <f>RADIANS(O17)</f>
        <v>0.7778100696251731</v>
      </c>
      <c r="P18">
        <f>RADIANS(P17)</f>
        <v>-0.7034487290582903</v>
      </c>
      <c r="R18">
        <f>DEGREES(ASIN(Q17))</f>
        <v>-40.251634721215815</v>
      </c>
      <c r="S18">
        <f>RADIANS(R18)</f>
        <v>-0.7025235551952859</v>
      </c>
      <c r="T18">
        <f>SIN($D$367)*COS(S15)*$A$364+SIN(S15)*$A$367</f>
        <v>-6.930111847643116E-06</v>
      </c>
      <c r="U18" s="15">
        <f>($A$388*U15-U16)*$V$12/COS(S18)</f>
        <v>-0.0001213695241918822</v>
      </c>
      <c r="V18" s="15">
        <f>($A$388*V15-V16)*$V$12</f>
        <v>1.6647913626308868E-07</v>
      </c>
      <c r="W18">
        <f>360-W15</f>
        <v>315.3135745434122</v>
      </c>
    </row>
    <row r="19" spans="1:24" ht="12.75">
      <c r="A19" s="3" t="s">
        <v>107</v>
      </c>
      <c r="B19" s="3" t="s">
        <v>107</v>
      </c>
      <c r="C19" s="3" t="s">
        <v>107</v>
      </c>
      <c r="D19" s="3" t="s">
        <v>107</v>
      </c>
      <c r="E19" s="3" t="s">
        <v>107</v>
      </c>
      <c r="F19" s="3" t="s">
        <v>107</v>
      </c>
      <c r="J19" t="s">
        <v>16</v>
      </c>
      <c r="K19">
        <f>120+K18*(-0.9808+K18*(-0.01532+K18/7129))</f>
        <v>7005.108110495162</v>
      </c>
      <c r="L19">
        <f>K19*L17</f>
        <v>0</v>
      </c>
      <c r="M19" s="3" t="s">
        <v>107</v>
      </c>
      <c r="N19" s="3" t="s">
        <v>133</v>
      </c>
      <c r="O19" s="3" t="s">
        <v>107</v>
      </c>
      <c r="P19" s="3" t="s">
        <v>107</v>
      </c>
      <c r="Q19" s="3" t="s">
        <v>107</v>
      </c>
      <c r="R19" s="3" t="s">
        <v>107</v>
      </c>
      <c r="S19" s="3" t="s">
        <v>107</v>
      </c>
      <c r="T19" s="3" t="s">
        <v>133</v>
      </c>
      <c r="U19" s="3" t="s">
        <v>107</v>
      </c>
      <c r="V19" s="3" t="s">
        <v>107</v>
      </c>
      <c r="W19" s="3" t="s">
        <v>107</v>
      </c>
      <c r="X19" s="3" t="s">
        <v>107</v>
      </c>
    </row>
    <row r="20" spans="1:24" ht="12.75">
      <c r="A20" s="3"/>
      <c r="B20" s="3"/>
      <c r="C20" s="3"/>
      <c r="D20" s="3"/>
      <c r="E20" s="3"/>
      <c r="F20" s="3"/>
      <c r="M20" s="16" t="s">
        <v>71</v>
      </c>
      <c r="N20" s="16" t="s">
        <v>106</v>
      </c>
      <c r="O20" s="16" t="s">
        <v>73</v>
      </c>
      <c r="P20" s="16" t="s">
        <v>74</v>
      </c>
      <c r="Q20" t="s">
        <v>81</v>
      </c>
      <c r="R20" t="s">
        <v>71</v>
      </c>
      <c r="S20" t="s">
        <v>85</v>
      </c>
      <c r="T20" t="s">
        <v>88</v>
      </c>
      <c r="U20" t="s">
        <v>92</v>
      </c>
      <c r="V20" t="s">
        <v>93</v>
      </c>
      <c r="W20" t="s">
        <v>71</v>
      </c>
      <c r="X20" t="s">
        <v>106</v>
      </c>
    </row>
    <row r="21" spans="1:24" ht="12.75">
      <c r="A21" s="30" t="s">
        <v>133</v>
      </c>
      <c r="B21" s="33">
        <v>5</v>
      </c>
      <c r="C21" s="34">
        <v>0.5</v>
      </c>
      <c r="D21" s="6" t="s">
        <v>132</v>
      </c>
      <c r="E21" s="27">
        <f>TRUNC(W24)</f>
        <v>335</v>
      </c>
      <c r="F21" s="28">
        <f>ABS(W24-E21)*60</f>
        <v>27.384937616828893</v>
      </c>
      <c r="J21" t="s">
        <v>24</v>
      </c>
      <c r="K21" t="s">
        <v>25</v>
      </c>
      <c r="L21" t="b">
        <f>AND(1700&lt;A2,A2&lt;=1800)</f>
        <v>0</v>
      </c>
      <c r="M21" s="16">
        <v>1</v>
      </c>
      <c r="N21" s="16">
        <v>-57</v>
      </c>
      <c r="O21" s="16">
        <v>0.08802</v>
      </c>
      <c r="P21" s="16">
        <v>-0.04008</v>
      </c>
      <c r="Q21">
        <f>COS(P24)*SIN(O24+$B$375)</f>
        <v>0.2245433177619573</v>
      </c>
      <c r="R21">
        <f>DEGREES(ATAN2(Q22,Q21))+$C$375</f>
        <v>24.55235859764706</v>
      </c>
      <c r="S21">
        <f>RADIANS(R22)</f>
        <v>0.4285194966592789</v>
      </c>
      <c r="T21">
        <f>(COS($D$367)+SIN($D$367)*SIN(S21)*TAN(S24))*$A$364-COS(S21)*TAN(S24)*$A$367</f>
        <v>-8.594925266490927E-06</v>
      </c>
      <c r="U21">
        <f>COS(S21)*COS($D$388)*COS($D$367)+SIN(S21)*SIN($D$388)</f>
        <v>0.21449252904286548</v>
      </c>
      <c r="V21">
        <f>COS($D$388)*COS($D$367)*(TAN($D$367)*COS(S24)-SIN(S21)*SIN(S24))+COS(S21)*SIN(S24)*SIN($D$388)</f>
        <v>-0.8662987268102449</v>
      </c>
      <c r="W21">
        <f>DEGREES(U24+T21+S21)</f>
        <v>24.54358437305283</v>
      </c>
      <c r="X21">
        <f>DEGREES(V24+T24+S24)</f>
        <v>-57.1667201785983</v>
      </c>
    </row>
    <row r="22" spans="1:22" ht="12.75">
      <c r="A22" s="3" t="s">
        <v>104</v>
      </c>
      <c r="B22" s="3" t="s">
        <v>105</v>
      </c>
      <c r="C22" s="3" t="s">
        <v>102</v>
      </c>
      <c r="D22" s="3" t="s">
        <v>106</v>
      </c>
      <c r="E22" s="3" t="s">
        <v>105</v>
      </c>
      <c r="F22" s="3" t="s">
        <v>102</v>
      </c>
      <c r="J22" t="s">
        <v>23</v>
      </c>
      <c r="K22">
        <f>K3-1700</f>
        <v>313.375</v>
      </c>
      <c r="M22" s="16">
        <v>37</v>
      </c>
      <c r="N22" s="16">
        <v>-14</v>
      </c>
      <c r="O22" t="s">
        <v>77</v>
      </c>
      <c r="P22" t="s">
        <v>78</v>
      </c>
      <c r="Q22">
        <f>COS($F$375)*COS(P24)*COS(O24+$B$375)-SIN($F$375)*SIN(P24)</f>
        <v>0.49347639745265937</v>
      </c>
      <c r="R22">
        <f>R21-360*INT(R21/360)</f>
        <v>24.55235859764706</v>
      </c>
      <c r="U22">
        <f>COS(S21)*COS($D$383)*COS($D$367)+SIN(S21)*SIN($D$383)</f>
        <v>0.79225238395853</v>
      </c>
      <c r="V22">
        <f>COS($D$383)*COS($D$367)*(TAN($D$367)*COS(S24)-SIN(S21)*SIN(S24))+COS(S21)*SIN(S24)*SIN($D$383)</f>
        <v>-0.368302968077065</v>
      </c>
    </row>
    <row r="23" spans="1:23" s="8" customFormat="1" ht="12.75">
      <c r="A23" s="8">
        <f>($C$370+E21+F21/60)-INT(($C$370+E21+F21/60)/360)*360</f>
        <v>242.36797536027643</v>
      </c>
      <c r="B23" s="25">
        <f>TRUNC(A23)</f>
        <v>242</v>
      </c>
      <c r="C23" s="26">
        <f>(A23-B23)*60</f>
        <v>22.07852161658593</v>
      </c>
      <c r="D23" s="29" t="str">
        <f>IF(X21&gt;=0,"N","S")</f>
        <v>S</v>
      </c>
      <c r="E23" s="25">
        <f>ABS(TRUNC(X21))</f>
        <v>57</v>
      </c>
      <c r="F23" s="26">
        <f>ABS(X21-TRUNC(X21))*60</f>
        <v>10.003210715897808</v>
      </c>
      <c r="J23" t="s">
        <v>16</v>
      </c>
      <c r="K23">
        <f>8.83+K22*(0.1603+K22*(-0.0059285+K22*(0.00013336-K22/1174000)))</f>
        <v>-4633.685487084723</v>
      </c>
      <c r="L23">
        <f>K23*L21</f>
        <v>0</v>
      </c>
      <c r="M23" s="17">
        <v>42.847</v>
      </c>
      <c r="N23" s="17">
        <v>-12.33</v>
      </c>
      <c r="O23" s="14">
        <f>M24+O21/3600*$A$361</f>
        <v>24.428856276815353</v>
      </c>
      <c r="P23" s="14">
        <f>N24+P21/3600*$A$361</f>
        <v>-57.236907283285156</v>
      </c>
      <c r="Q23" s="14">
        <f>SIN($F$375)*COS(P24)*COS(O24+$B$375)+COS($F$375)*SIN(P24)</f>
        <v>-0.840274564416654</v>
      </c>
      <c r="R23" s="14" t="s">
        <v>106</v>
      </c>
      <c r="S23" s="8" t="s">
        <v>86</v>
      </c>
      <c r="T23" s="8" t="s">
        <v>89</v>
      </c>
      <c r="U23" s="8" t="s">
        <v>88</v>
      </c>
      <c r="V23" s="8" t="s">
        <v>89</v>
      </c>
      <c r="W23" s="8" t="s">
        <v>97</v>
      </c>
    </row>
    <row r="24" spans="1:23" ht="12.75">
      <c r="A24" s="3"/>
      <c r="B24" s="3"/>
      <c r="C24" s="3"/>
      <c r="D24" s="3"/>
      <c r="E24" s="3"/>
      <c r="F24" s="3"/>
      <c r="M24" s="13">
        <f>(M21+M22/60+M23/3600)*15</f>
        <v>24.428529166666667</v>
      </c>
      <c r="N24" s="13">
        <f>N21+N22/60+N23/3600</f>
        <v>-57.236758333333334</v>
      </c>
      <c r="O24">
        <f>RADIANS(O23)</f>
        <v>0.4263639745269112</v>
      </c>
      <c r="P24">
        <f>RADIANS(P23)</f>
        <v>-0.9989724857520488</v>
      </c>
      <c r="R24">
        <f>DEGREES(ASIN(Q23))</f>
        <v>-57.1691243101995</v>
      </c>
      <c r="S24">
        <f>RADIANS(R24)</f>
        <v>-0.9977894496949133</v>
      </c>
      <c r="T24">
        <f>SIN($D$367)*COS(S21)*$A$364+SIN(S21)*$A$367</f>
        <v>6.801348714535356E-06</v>
      </c>
      <c r="U24" s="15">
        <f>($A$388*U21-U22)*$V$12/COS(S24)</f>
        <v>-0.00014454418321228852</v>
      </c>
      <c r="V24" s="15">
        <f>($A$388*V21-V22)*$V$12</f>
        <v>3.515866337768232E-05</v>
      </c>
      <c r="W24">
        <f>360-W21</f>
        <v>335.45641562694715</v>
      </c>
    </row>
    <row r="25" spans="1:24" ht="12.75">
      <c r="A25" s="3" t="s">
        <v>107</v>
      </c>
      <c r="B25" s="3" t="s">
        <v>107</v>
      </c>
      <c r="C25" s="3" t="s">
        <v>107</v>
      </c>
      <c r="D25" s="3" t="s">
        <v>107</v>
      </c>
      <c r="E25" s="3" t="s">
        <v>107</v>
      </c>
      <c r="F25" s="3" t="s">
        <v>107</v>
      </c>
      <c r="J25" t="s">
        <v>26</v>
      </c>
      <c r="K25" t="s">
        <v>27</v>
      </c>
      <c r="L25" t="b">
        <f>AND(1800&lt;A2,A2&lt;=1860)</f>
        <v>0</v>
      </c>
      <c r="M25" s="3" t="s">
        <v>107</v>
      </c>
      <c r="N25" s="3" t="s">
        <v>134</v>
      </c>
      <c r="O25" s="3" t="s">
        <v>107</v>
      </c>
      <c r="P25" s="3" t="s">
        <v>107</v>
      </c>
      <c r="Q25" s="3" t="s">
        <v>107</v>
      </c>
      <c r="R25" s="3" t="s">
        <v>107</v>
      </c>
      <c r="S25" s="3" t="s">
        <v>107</v>
      </c>
      <c r="T25" s="3" t="s">
        <v>134</v>
      </c>
      <c r="U25" s="3" t="s">
        <v>107</v>
      </c>
      <c r="V25" s="3" t="s">
        <v>107</v>
      </c>
      <c r="W25" s="3" t="s">
        <v>107</v>
      </c>
      <c r="X25" s="3" t="s">
        <v>107</v>
      </c>
    </row>
    <row r="26" spans="1:24" ht="12.75">
      <c r="A26" s="3"/>
      <c r="B26" s="3"/>
      <c r="C26" s="3"/>
      <c r="D26" s="3"/>
      <c r="E26" s="3"/>
      <c r="F26" s="3"/>
      <c r="J26" t="s">
        <v>23</v>
      </c>
      <c r="K26">
        <f>K3-1800</f>
        <v>213.375</v>
      </c>
      <c r="M26" s="16" t="s">
        <v>71</v>
      </c>
      <c r="N26" s="16" t="s">
        <v>106</v>
      </c>
      <c r="O26" s="16" t="s">
        <v>73</v>
      </c>
      <c r="P26" s="16" t="s">
        <v>74</v>
      </c>
      <c r="Q26" t="s">
        <v>81</v>
      </c>
      <c r="R26" t="s">
        <v>71</v>
      </c>
      <c r="S26" t="s">
        <v>85</v>
      </c>
      <c r="T26" t="s">
        <v>88</v>
      </c>
      <c r="U26" t="s">
        <v>92</v>
      </c>
      <c r="V26" t="s">
        <v>93</v>
      </c>
      <c r="W26" t="s">
        <v>71</v>
      </c>
      <c r="X26" t="s">
        <v>106</v>
      </c>
    </row>
    <row r="27" spans="1:24" ht="12.75">
      <c r="A27" s="30" t="s">
        <v>134</v>
      </c>
      <c r="B27" s="33">
        <v>30</v>
      </c>
      <c r="C27" s="34">
        <v>1.3</v>
      </c>
      <c r="D27" s="6" t="s">
        <v>132</v>
      </c>
      <c r="E27" s="27">
        <f>TRUNC(W30)</f>
        <v>173</v>
      </c>
      <c r="F27" s="28">
        <f>ABS(W30-E27)*60</f>
        <v>8.865679708393372</v>
      </c>
      <c r="J27" t="s">
        <v>16</v>
      </c>
      <c r="K27">
        <f>13.72+K26*(-0.332447+K26*(0.0068612+K26*(0.0041116+K26*(-0.00037436+K26*(0.0000121272+K26*(-0.0000001699+0.000000000875*K26))))))</f>
        <v>6213874.921964847</v>
      </c>
      <c r="L27">
        <f>K27*L25</f>
        <v>0</v>
      </c>
      <c r="M27" s="16">
        <v>12</v>
      </c>
      <c r="N27" s="16">
        <v>-63</v>
      </c>
      <c r="O27" s="16">
        <v>-0.0353</v>
      </c>
      <c r="P27" s="16">
        <v>-0.012</v>
      </c>
      <c r="Q27">
        <f>COS(P30)*SIN(O30+$B$375)</f>
        <v>-0.05306233032219034</v>
      </c>
      <c r="R27">
        <f>DEGREES(ATAN2(Q28,Q27))+$C$375</f>
        <v>-173.16198170751707</v>
      </c>
      <c r="S27">
        <f>RADIANS(R28)</f>
        <v>3.2609385871052208</v>
      </c>
      <c r="T27">
        <f>(COS($D$367)+SIN($D$367)*SIN(S27)*TAN(S30))*$A$364-COS(S27)*TAN(S30)*$A$367</f>
        <v>0.0001200943356846989</v>
      </c>
      <c r="U27">
        <f>COS(S27)*COS($D$388)*COS($D$367)+SIN(S27)*SIN($D$388)</f>
        <v>0.09158603488048851</v>
      </c>
      <c r="V27">
        <f>COS($D$388)*COS($D$367)*(TAN($D$367)*COS(S30)-SIN(S27)*SIN(S30))+COS(S27)*SIN(S30)*SIN($D$388)</f>
        <v>0.8440505465828081</v>
      </c>
      <c r="W27">
        <f>DEGREES(U30+T27+S27)</f>
        <v>186.85223867152678</v>
      </c>
      <c r="X27">
        <f>DEGREES(V30+T30+S30)</f>
        <v>-63.17856503395592</v>
      </c>
    </row>
    <row r="28" spans="1:22" ht="12.75">
      <c r="A28" s="3" t="s">
        <v>104</v>
      </c>
      <c r="B28" s="3" t="s">
        <v>105</v>
      </c>
      <c r="C28" s="3" t="s">
        <v>102</v>
      </c>
      <c r="D28" s="3" t="s">
        <v>106</v>
      </c>
      <c r="E28" s="3" t="s">
        <v>105</v>
      </c>
      <c r="F28" s="3" t="s">
        <v>102</v>
      </c>
      <c r="M28" s="16">
        <v>26</v>
      </c>
      <c r="N28" s="16">
        <v>-5</v>
      </c>
      <c r="O28" t="s">
        <v>77</v>
      </c>
      <c r="P28" t="s">
        <v>78</v>
      </c>
      <c r="Q28">
        <f>COS($F$375)*COS(P30)*COS(O30+$B$375)-SIN($F$375)*SIN(P30)</f>
        <v>-0.4481667992804108</v>
      </c>
      <c r="R28">
        <f>R27-360*INT(R27/360)</f>
        <v>186.83801829248293</v>
      </c>
      <c r="U28">
        <f>COS(S27)*COS($D$383)*COS($D$367)+SIN(S27)*SIN($D$383)</f>
        <v>-0.5802671883879018</v>
      </c>
      <c r="V28">
        <f>COS($D$383)*COS($D$367)*(TAN($D$367)*COS(S30)-SIN(S27)*SIN(S30))+COS(S27)*SIN(S30)*SIN($D$383)</f>
        <v>0.7967809880945489</v>
      </c>
    </row>
    <row r="29" spans="1:23" s="8" customFormat="1" ht="12.75">
      <c r="A29" s="8">
        <f>($C$370+E27+F27/60)-INT(($C$370+E27+F27/60)/360)*360</f>
        <v>80.05932106180256</v>
      </c>
      <c r="B29" s="25">
        <f>TRUNC(A29)</f>
        <v>80</v>
      </c>
      <c r="C29" s="26">
        <f>(A29-B29)*60</f>
        <v>3.5592637081538214</v>
      </c>
      <c r="D29" s="29" t="str">
        <f>IF(X27&gt;=0,"N","S")</f>
        <v>S</v>
      </c>
      <c r="E29" s="25">
        <f>ABS(TRUNC(X27))</f>
        <v>63</v>
      </c>
      <c r="F29" s="26">
        <f>ABS(X27-TRUNC(X27))*60</f>
        <v>10.713902037355183</v>
      </c>
      <c r="J29" t="s">
        <v>28</v>
      </c>
      <c r="K29" t="s">
        <v>29</v>
      </c>
      <c r="L29" t="b">
        <f>AND(1860&lt;A2,A2&lt;=1900)</f>
        <v>0</v>
      </c>
      <c r="M29" s="17">
        <v>35.871</v>
      </c>
      <c r="N29" s="17">
        <v>-56.58</v>
      </c>
      <c r="O29" s="14">
        <f>M30+O27/3600*$A$361</f>
        <v>186.64933131403944</v>
      </c>
      <c r="P29" s="14">
        <f>N30+P27/3600*$A$361</f>
        <v>-63.099094595793964</v>
      </c>
      <c r="Q29" s="14">
        <f>SIN($F$375)*COS(P30)*COS(O30+$B$375)+COS($F$375)*SIN(P30)</f>
        <v>-0.8923737496831305</v>
      </c>
      <c r="R29" s="14" t="s">
        <v>106</v>
      </c>
      <c r="S29" s="8" t="s">
        <v>86</v>
      </c>
      <c r="T29" s="8" t="s">
        <v>89</v>
      </c>
      <c r="U29" s="8" t="s">
        <v>88</v>
      </c>
      <c r="V29" s="8" t="s">
        <v>89</v>
      </c>
      <c r="W29" s="8" t="s">
        <v>97</v>
      </c>
    </row>
    <row r="30" spans="1:23" ht="12.75">
      <c r="A30" s="3"/>
      <c r="B30" s="3"/>
      <c r="C30" s="3"/>
      <c r="D30" s="3"/>
      <c r="E30" s="3"/>
      <c r="F30" s="3"/>
      <c r="J30" t="s">
        <v>23</v>
      </c>
      <c r="K30">
        <f>K3-1860</f>
        <v>153.375</v>
      </c>
      <c r="M30" s="13">
        <f>(M27+M28/60+M29/3600)*15</f>
        <v>186.6494625</v>
      </c>
      <c r="N30" s="13">
        <f>N27+N28/60+N29/3600</f>
        <v>-63.099050000000005</v>
      </c>
      <c r="O30">
        <f>RADIANS(O29)</f>
        <v>3.2576453780757424</v>
      </c>
      <c r="P30">
        <f>RADIANS(P29)</f>
        <v>-1.1012869557239653</v>
      </c>
      <c r="R30">
        <f>DEGREES(ASIN(Q29))</f>
        <v>-63.1730636522388</v>
      </c>
      <c r="S30">
        <f>RADIANS(R30)</f>
        <v>-1.1025779593035212</v>
      </c>
      <c r="T30">
        <f>SIN($D$367)*COS(S27)*$A$364+SIN(S27)*$A$367</f>
        <v>-1.8245880915366913E-05</v>
      </c>
      <c r="U30" s="15">
        <f>($A$388*U27-U28)*$V$12/COS(S30)</f>
        <v>0.00012809809951188058</v>
      </c>
      <c r="V30" s="15">
        <f>($A$388*V27-V28)*$V$12</f>
        <v>-7.777134345727538E-05</v>
      </c>
      <c r="W30">
        <f>360-W27</f>
        <v>173.14776132847322</v>
      </c>
    </row>
    <row r="31" spans="1:24" ht="12.75">
      <c r="A31" s="3" t="s">
        <v>107</v>
      </c>
      <c r="B31" s="3" t="s">
        <v>107</v>
      </c>
      <c r="C31" s="3" t="s">
        <v>107</v>
      </c>
      <c r="D31" s="3" t="s">
        <v>107</v>
      </c>
      <c r="E31" s="3" t="s">
        <v>107</v>
      </c>
      <c r="F31" s="3" t="s">
        <v>107</v>
      </c>
      <c r="J31" t="s">
        <v>16</v>
      </c>
      <c r="K31">
        <f>7.62+K30*(0.5737+K30*(-0.251754+K30*(0.01680668+K30*(-0.0004473624+K30/233174))))</f>
        <v>171245.79082589812</v>
      </c>
      <c r="L31">
        <f>K31*L29</f>
        <v>0</v>
      </c>
      <c r="M31" s="3" t="s">
        <v>107</v>
      </c>
      <c r="N31" s="3" t="s">
        <v>135</v>
      </c>
      <c r="O31" s="3" t="s">
        <v>107</v>
      </c>
      <c r="P31" s="3" t="s">
        <v>107</v>
      </c>
      <c r="Q31" s="3" t="s">
        <v>107</v>
      </c>
      <c r="R31" s="3" t="s">
        <v>107</v>
      </c>
      <c r="S31" s="3" t="s">
        <v>107</v>
      </c>
      <c r="T31" s="3" t="s">
        <v>135</v>
      </c>
      <c r="U31" s="3" t="s">
        <v>107</v>
      </c>
      <c r="V31" s="3" t="s">
        <v>107</v>
      </c>
      <c r="W31" s="3" t="s">
        <v>107</v>
      </c>
      <c r="X31" s="3" t="s">
        <v>107</v>
      </c>
    </row>
    <row r="32" spans="1:24" ht="12.75">
      <c r="A32" s="3"/>
      <c r="B32" s="3"/>
      <c r="C32" s="3"/>
      <c r="D32" s="3"/>
      <c r="E32" s="3"/>
      <c r="F32" s="3"/>
      <c r="M32" s="16" t="s">
        <v>71</v>
      </c>
      <c r="N32" s="16" t="s">
        <v>106</v>
      </c>
      <c r="O32" s="16" t="s">
        <v>73</v>
      </c>
      <c r="P32" s="16" t="s">
        <v>74</v>
      </c>
      <c r="Q32" t="s">
        <v>81</v>
      </c>
      <c r="R32" t="s">
        <v>71</v>
      </c>
      <c r="S32" t="s">
        <v>85</v>
      </c>
      <c r="T32" t="s">
        <v>88</v>
      </c>
      <c r="U32" t="s">
        <v>92</v>
      </c>
      <c r="V32" t="s">
        <v>93</v>
      </c>
      <c r="W32" t="s">
        <v>71</v>
      </c>
      <c r="X32" t="s">
        <v>106</v>
      </c>
    </row>
    <row r="33" spans="1:24" ht="12.75">
      <c r="A33" s="30" t="s">
        <v>135</v>
      </c>
      <c r="B33" s="33">
        <v>19</v>
      </c>
      <c r="C33" s="34">
        <v>1.5</v>
      </c>
      <c r="D33" s="6" t="s">
        <v>132</v>
      </c>
      <c r="E33" s="27">
        <f>TRUNC(W36)</f>
        <v>255</v>
      </c>
      <c r="F33" s="35">
        <f>ABS(W36-E33)*60</f>
        <v>12.83669066470793</v>
      </c>
      <c r="J33" t="s">
        <v>30</v>
      </c>
      <c r="K33" t="s">
        <v>31</v>
      </c>
      <c r="L33" t="b">
        <f>AND(1900&lt;A2,A2&lt;=1920)</f>
        <v>0</v>
      </c>
      <c r="M33" s="16">
        <v>6</v>
      </c>
      <c r="N33" s="16">
        <v>-28</v>
      </c>
      <c r="O33" s="16">
        <v>0.00263</v>
      </c>
      <c r="P33" s="16">
        <v>0.00229</v>
      </c>
      <c r="Q33">
        <f>COS(P36)*SIN(O36+$B$375)</f>
        <v>0.8460562790237787</v>
      </c>
      <c r="R33">
        <f>DEGREES(ATAN2(Q34,Q33))+$C$375</f>
        <v>104.78797791189761</v>
      </c>
      <c r="S33">
        <f>RADIANS(R34)</f>
        <v>1.828895231069706</v>
      </c>
      <c r="T33">
        <f>(COS($D$367)+SIN($D$367)*SIN(S33)*TAN(S36))*$A$364-COS(S33)*TAN(S36)*$A$367</f>
        <v>4.399417790229359E-05</v>
      </c>
      <c r="U33">
        <f>COS(S33)*COS($D$388)*COS($D$367)+SIN(S33)*SIN($D$388)</f>
        <v>0.994803588184267</v>
      </c>
      <c r="V33">
        <f>COS($D$388)*COS($D$367)*(TAN($D$367)*COS(S36)-SIN(S33)*SIN(S36))+COS(S33)*SIN(S36)*SIN($D$388)</f>
        <v>-0.05673386495593548</v>
      </c>
      <c r="W33">
        <f>DEGREES(U36+T33+S33)</f>
        <v>104.78605515558819</v>
      </c>
      <c r="X33">
        <f>DEGREES(V36+T36+S36)</f>
        <v>-28.99605429568955</v>
      </c>
    </row>
    <row r="34" spans="1:22" ht="12.75">
      <c r="A34" s="3" t="s">
        <v>104</v>
      </c>
      <c r="B34" s="3" t="s">
        <v>105</v>
      </c>
      <c r="C34" s="3" t="s">
        <v>102</v>
      </c>
      <c r="D34" s="3" t="s">
        <v>106</v>
      </c>
      <c r="E34" s="3" t="s">
        <v>105</v>
      </c>
      <c r="F34" s="3" t="s">
        <v>102</v>
      </c>
      <c r="J34" t="s">
        <v>23</v>
      </c>
      <c r="K34">
        <f>K3-1900</f>
        <v>113.375</v>
      </c>
      <c r="M34" s="16">
        <v>58</v>
      </c>
      <c r="N34" s="16">
        <v>-58</v>
      </c>
      <c r="O34" t="s">
        <v>77</v>
      </c>
      <c r="P34" t="s">
        <v>78</v>
      </c>
      <c r="Q34">
        <f>COS($F$375)*COS(P36)*COS(O36+$B$375)-SIN($F$375)*SIN(P36)</f>
        <v>-0.22199447544955056</v>
      </c>
      <c r="R34">
        <f>R33-360*INT(R33/360)</f>
        <v>104.78797791189761</v>
      </c>
      <c r="U34">
        <f>COS(S33)*COS($D$383)*COS($D$367)+SIN(S33)*SIN($D$383)</f>
        <v>0.6993000779315652</v>
      </c>
      <c r="V34">
        <f>COS($D$383)*COS($D$367)*(TAN($D$367)*COS(S36)-SIN(S33)*SIN(S36))+COS(S33)*SIN(S36)*SIN($D$383)</f>
        <v>0.5142167872500841</v>
      </c>
    </row>
    <row r="35" spans="1:23" s="8" customFormat="1" ht="12.75">
      <c r="A35" s="8">
        <f>($C$370+E33+F33/60)-INT(($C$370+E33+F33/60)/360)*360</f>
        <v>162.12550457774114</v>
      </c>
      <c r="B35" s="25">
        <f>TRUNC(A35)</f>
        <v>162</v>
      </c>
      <c r="C35" s="26">
        <f>(A35-B35)*60</f>
        <v>7.530274664468379</v>
      </c>
      <c r="D35" s="29" t="str">
        <f>IF(X33&gt;=0,"N","S")</f>
        <v>S</v>
      </c>
      <c r="E35" s="25">
        <f>ABS(TRUNC(X33))</f>
        <v>28</v>
      </c>
      <c r="F35" s="26">
        <f>ABS(X33-TRUNC(X33))*60</f>
        <v>59.76325774137301</v>
      </c>
      <c r="J35" t="s">
        <v>16</v>
      </c>
      <c r="K35">
        <f>-2.79+K34*(1.494119+K34*(-0.0598939+K34*(0.0061966-0.000197*K34)))</f>
        <v>-24121.731011284424</v>
      </c>
      <c r="L35">
        <f>K35*L33</f>
        <v>0</v>
      </c>
      <c r="M35" s="17">
        <v>37.548</v>
      </c>
      <c r="N35" s="17">
        <v>-19.5</v>
      </c>
      <c r="O35" s="14">
        <f>M36+O33/3600*$A$361</f>
        <v>104.65645977391152</v>
      </c>
      <c r="P35" s="14">
        <f>N36+P33/3600*$A$361</f>
        <v>-28.972074822969315</v>
      </c>
      <c r="Q35" s="14">
        <f>SIN($F$375)*COS(P36)*COS(O36+$B$375)+COS($F$375)*SIN(P36)</f>
        <v>-0.48467228680245045</v>
      </c>
      <c r="R35" s="14" t="s">
        <v>106</v>
      </c>
      <c r="S35" s="8" t="s">
        <v>86</v>
      </c>
      <c r="T35" s="8" t="s">
        <v>89</v>
      </c>
      <c r="U35" s="8" t="s">
        <v>88</v>
      </c>
      <c r="V35" s="8" t="s">
        <v>89</v>
      </c>
      <c r="W35" s="8" t="s">
        <v>97</v>
      </c>
    </row>
    <row r="36" spans="1:23" ht="12.75">
      <c r="A36" s="3"/>
      <c r="B36" s="3"/>
      <c r="C36" s="3"/>
      <c r="D36" s="3"/>
      <c r="E36" s="3"/>
      <c r="F36" s="3"/>
      <c r="M36" s="13">
        <f>(M33+M34/60+M35/3600)*15</f>
        <v>104.65645</v>
      </c>
      <c r="N36" s="13">
        <f>N33+N34/60+N35/3600</f>
        <v>-28.97208333333333</v>
      </c>
      <c r="O36">
        <f>RADIANS(O35)</f>
        <v>1.8265998065357563</v>
      </c>
      <c r="P36">
        <f>RADIANS(P35)</f>
        <v>-0.5056580967949679</v>
      </c>
      <c r="R36">
        <f>DEGREES(ASIN(Q35))</f>
        <v>-28.991003765083573</v>
      </c>
      <c r="S36">
        <f>RADIANS(R36)</f>
        <v>-0.505988469158781</v>
      </c>
      <c r="T36">
        <f>SIN($D$367)*COS(S33)*$A$364+SIN(S33)*$A$367</f>
        <v>-3.695903233039846E-05</v>
      </c>
      <c r="U36" s="15">
        <f>($A$388*U33-U34)*$V$12/COS(S36)</f>
        <v>-7.755260621547175E-05</v>
      </c>
      <c r="V36" s="15">
        <f>($A$388*V33-V34)*$V$12</f>
        <v>-5.118935571670545E-05</v>
      </c>
      <c r="W36">
        <f>360-W33</f>
        <v>255.2139448444118</v>
      </c>
    </row>
    <row r="37" spans="1:24" ht="12.75">
      <c r="A37" s="3" t="s">
        <v>107</v>
      </c>
      <c r="B37" s="3" t="s">
        <v>107</v>
      </c>
      <c r="C37" s="3" t="s">
        <v>107</v>
      </c>
      <c r="D37" s="3" t="s">
        <v>107</v>
      </c>
      <c r="E37" s="3" t="s">
        <v>107</v>
      </c>
      <c r="F37" s="3" t="s">
        <v>107</v>
      </c>
      <c r="J37" t="s">
        <v>32</v>
      </c>
      <c r="K37" t="s">
        <v>33</v>
      </c>
      <c r="L37" t="b">
        <f>AND(1920&lt;A2,A2&lt;=1941)</f>
        <v>0</v>
      </c>
      <c r="M37" s="3" t="s">
        <v>107</v>
      </c>
      <c r="N37" s="3" t="s">
        <v>136</v>
      </c>
      <c r="O37" s="3" t="s">
        <v>107</v>
      </c>
      <c r="P37" s="3" t="s">
        <v>107</v>
      </c>
      <c r="Q37" s="3" t="s">
        <v>107</v>
      </c>
      <c r="R37" s="3" t="s">
        <v>107</v>
      </c>
      <c r="S37" s="3" t="s">
        <v>107</v>
      </c>
      <c r="T37" s="3" t="s">
        <v>136</v>
      </c>
      <c r="U37" s="3" t="s">
        <v>107</v>
      </c>
      <c r="V37" s="3" t="s">
        <v>107</v>
      </c>
      <c r="W37" s="3" t="s">
        <v>107</v>
      </c>
      <c r="X37" s="3" t="s">
        <v>107</v>
      </c>
    </row>
    <row r="38" spans="1:24" ht="12.75">
      <c r="A38" s="3"/>
      <c r="B38" s="3"/>
      <c r="C38" s="3"/>
      <c r="D38" s="3"/>
      <c r="E38" s="3"/>
      <c r="F38" s="3"/>
      <c r="J38" s="13" t="s">
        <v>23</v>
      </c>
      <c r="K38" s="13">
        <f>K3-1920</f>
        <v>93.375</v>
      </c>
      <c r="L38" s="4"/>
      <c r="M38" s="16" t="s">
        <v>71</v>
      </c>
      <c r="N38" s="16" t="s">
        <v>106</v>
      </c>
      <c r="O38" s="16" t="s">
        <v>73</v>
      </c>
      <c r="P38" s="16" t="s">
        <v>74</v>
      </c>
      <c r="Q38" t="s">
        <v>81</v>
      </c>
      <c r="R38" t="s">
        <v>71</v>
      </c>
      <c r="S38" t="s">
        <v>85</v>
      </c>
      <c r="T38" t="s">
        <v>88</v>
      </c>
      <c r="U38" t="s">
        <v>92</v>
      </c>
      <c r="V38" t="s">
        <v>93</v>
      </c>
      <c r="W38" t="s">
        <v>71</v>
      </c>
      <c r="X38" t="s">
        <v>106</v>
      </c>
    </row>
    <row r="39" spans="1:24" ht="12.75">
      <c r="A39" s="30" t="s">
        <v>136</v>
      </c>
      <c r="B39" s="33">
        <v>10</v>
      </c>
      <c r="C39" s="34">
        <v>0.9</v>
      </c>
      <c r="D39" s="6" t="s">
        <v>132</v>
      </c>
      <c r="E39" s="27">
        <f>TRUNC(W42)</f>
        <v>290</v>
      </c>
      <c r="F39" s="28">
        <f>ABS(W42-E39)*60</f>
        <v>49.78279681139952</v>
      </c>
      <c r="J39" s="13" t="s">
        <v>16</v>
      </c>
      <c r="K39">
        <f>21.2+K38*(0.84493+K38*(-0.0761+0.0020936*K38))</f>
        <v>1141.0428185796877</v>
      </c>
      <c r="L39">
        <f>K39*L37</f>
        <v>0</v>
      </c>
      <c r="M39" s="16">
        <v>4</v>
      </c>
      <c r="N39" s="16">
        <v>16</v>
      </c>
      <c r="O39" s="16">
        <v>0.06278</v>
      </c>
      <c r="P39" s="16">
        <v>-0.18935</v>
      </c>
      <c r="Q39">
        <f>COS(P42)*SIN(O42+$B$375)</f>
        <v>0.8954913513284832</v>
      </c>
      <c r="R39">
        <f>DEGREES(ATAN2(Q40,Q39))+$C$375</f>
        <v>69.17245279416066</v>
      </c>
      <c r="S39">
        <f>RADIANS(R40)</f>
        <v>1.207287052938455</v>
      </c>
      <c r="T39">
        <f>(COS($D$367)+SIN($D$367)*SIN(S39)*TAN(S42))*$A$364-COS(S39)*TAN(S42)*$A$367</f>
        <v>6.093288277843085E-05</v>
      </c>
      <c r="U39">
        <f>COS(S39)*COS($D$388)*COS($D$367)+SIN(S39)*SIN($D$388)</f>
        <v>0.8357683706940451</v>
      </c>
      <c r="V39">
        <f>COS($D$388)*COS($D$367)*(TAN($D$367)*COS(S42)-SIN(S39)*SIN(S42))+COS(S39)*SIN(S42)*SIN($D$388)</f>
        <v>0.06727664429815874</v>
      </c>
      <c r="W39">
        <f>DEGREES(U42+T39+S39)</f>
        <v>69.17028671981</v>
      </c>
      <c r="X39">
        <f>DEGREES(V42+T42+S42)</f>
        <v>16.533025757804424</v>
      </c>
    </row>
    <row r="40" spans="1:22" ht="12.75">
      <c r="A40" s="3" t="s">
        <v>104</v>
      </c>
      <c r="B40" s="3" t="s">
        <v>105</v>
      </c>
      <c r="C40" s="3" t="s">
        <v>102</v>
      </c>
      <c r="D40" s="3" t="s">
        <v>106</v>
      </c>
      <c r="E40" s="3" t="s">
        <v>105</v>
      </c>
      <c r="F40" s="3" t="s">
        <v>102</v>
      </c>
      <c r="M40" s="16">
        <v>35</v>
      </c>
      <c r="N40" s="16">
        <v>30</v>
      </c>
      <c r="O40" t="s">
        <v>77</v>
      </c>
      <c r="P40" t="s">
        <v>78</v>
      </c>
      <c r="Q40">
        <f>COS($F$375)*COS(P42)*COS(O42+$B$375)-SIN($F$375)*SIN(P42)</f>
        <v>0.3421923628862264</v>
      </c>
      <c r="R40">
        <f>R39-360*INT(R39/360)</f>
        <v>69.17245279416066</v>
      </c>
      <c r="U40">
        <f>COS(S39)*COS($D$383)*COS($D$367)+SIN(S39)*SIN($D$383)</f>
        <v>0.966555102295356</v>
      </c>
      <c r="V40">
        <f>COS($D$383)*COS($D$367)*(TAN($D$367)*COS(S42)-SIN(S39)*SIN(S42))+COS(S39)*SIN(S42)*SIN($D$383)</f>
        <v>0.15821970928593593</v>
      </c>
    </row>
    <row r="41" spans="1:23" s="8" customFormat="1" ht="12.75">
      <c r="A41" s="8">
        <f>($C$370+E39+F39/60)-INT(($C$370+E39+F39/60)/360)*360</f>
        <v>197.74127301351928</v>
      </c>
      <c r="B41" s="25">
        <f>TRUNC(A41)</f>
        <v>197</v>
      </c>
      <c r="C41" s="26">
        <f>(A41-B41)*60</f>
        <v>44.47638081115656</v>
      </c>
      <c r="D41" s="29" t="str">
        <f>IF(X39&gt;=0,"N","S")</f>
        <v>N</v>
      </c>
      <c r="E41" s="25">
        <f>ABS(TRUNC(X39))</f>
        <v>16</v>
      </c>
      <c r="F41" s="26">
        <f>ABS(X39-TRUNC(X39))*60</f>
        <v>31.981545468265438</v>
      </c>
      <c r="J41" t="s">
        <v>35</v>
      </c>
      <c r="K41" t="s">
        <v>36</v>
      </c>
      <c r="L41" t="b">
        <f>AND(1941&lt;A2,A2&lt;=1961)</f>
        <v>0</v>
      </c>
      <c r="M41" s="17">
        <v>55.239</v>
      </c>
      <c r="N41" s="17">
        <v>33.49</v>
      </c>
      <c r="O41" s="14">
        <f>M42+O39/3600*$A$361</f>
        <v>68.98039581032873</v>
      </c>
      <c r="P41" s="14">
        <f>N42+P39/3600*$A$361</f>
        <v>16.50859909331227</v>
      </c>
      <c r="Q41" s="14">
        <f>SIN($F$375)*COS(P42)*COS(O42+$B$375)+COS($F$375)*SIN(P42)</f>
        <v>0.2846043332035342</v>
      </c>
      <c r="R41" s="14" t="s">
        <v>106</v>
      </c>
      <c r="S41" s="8" t="s">
        <v>86</v>
      </c>
      <c r="T41" s="8" t="s">
        <v>89</v>
      </c>
      <c r="U41" s="8" t="s">
        <v>88</v>
      </c>
      <c r="V41" s="8" t="s">
        <v>89</v>
      </c>
      <c r="W41" s="8" t="s">
        <v>97</v>
      </c>
    </row>
    <row r="42" spans="1:23" ht="12.75">
      <c r="A42" s="3"/>
      <c r="B42" s="3"/>
      <c r="C42" s="3"/>
      <c r="D42" s="3"/>
      <c r="E42" s="3"/>
      <c r="F42" s="3"/>
      <c r="J42" t="s">
        <v>23</v>
      </c>
      <c r="K42">
        <f>K3-1950</f>
        <v>63.375</v>
      </c>
      <c r="M42" s="13">
        <f>(M39+M40/60+M41/3600)*15</f>
        <v>68.9801625</v>
      </c>
      <c r="N42" s="13">
        <f>N39+N40/60+N41/3600</f>
        <v>16.509302777777776</v>
      </c>
      <c r="O42">
        <f>RADIANS(O41)</f>
        <v>1.2039350262191382</v>
      </c>
      <c r="P42">
        <f>RADIANS(P41)</f>
        <v>0.2881294090700497</v>
      </c>
      <c r="R42">
        <f>DEGREES(ASIN(Q41))</f>
        <v>16.53519913797872</v>
      </c>
      <c r="S42">
        <f>RADIANS(R42)</f>
        <v>0.2885936674306568</v>
      </c>
      <c r="T42">
        <f>SIN($D$367)*COS(S39)*$A$364+SIN(S39)*$A$367</f>
        <v>-2.232278384384921E-05</v>
      </c>
      <c r="U42" s="15">
        <f>($A$388*U39-U40)*$V$12/COS(S42)</f>
        <v>-9.873801204072039E-05</v>
      </c>
      <c r="V42" s="15">
        <f>($A$388*V39-V40)*$V$12</f>
        <v>-1.5609856095160822E-05</v>
      </c>
      <c r="W42">
        <f>360-W39</f>
        <v>290.82971328019</v>
      </c>
    </row>
    <row r="43" spans="1:24" ht="12.75">
      <c r="A43" s="3" t="s">
        <v>107</v>
      </c>
      <c r="B43" s="3" t="s">
        <v>107</v>
      </c>
      <c r="C43" s="3" t="s">
        <v>107</v>
      </c>
      <c r="D43" s="3" t="s">
        <v>107</v>
      </c>
      <c r="E43" s="3" t="s">
        <v>107</v>
      </c>
      <c r="F43" s="3" t="s">
        <v>107</v>
      </c>
      <c r="J43" t="s">
        <v>16</v>
      </c>
      <c r="K43">
        <f>29.07+K42*(0.407+K42*(-1/233+K42/2547))</f>
        <v>137.56258952000144</v>
      </c>
      <c r="L43">
        <f>K43*L41</f>
        <v>0</v>
      </c>
      <c r="M43" s="3" t="s">
        <v>107</v>
      </c>
      <c r="N43" s="3" t="s">
        <v>137</v>
      </c>
      <c r="O43" s="3" t="s">
        <v>107</v>
      </c>
      <c r="P43" s="3" t="s">
        <v>107</v>
      </c>
      <c r="Q43" s="3" t="s">
        <v>107</v>
      </c>
      <c r="R43" s="3" t="s">
        <v>107</v>
      </c>
      <c r="S43" s="3" t="s">
        <v>107</v>
      </c>
      <c r="T43" s="3" t="s">
        <v>137</v>
      </c>
      <c r="U43" s="3" t="s">
        <v>107</v>
      </c>
      <c r="V43" s="3" t="s">
        <v>107</v>
      </c>
      <c r="W43" s="3" t="s">
        <v>107</v>
      </c>
      <c r="X43" s="3" t="s">
        <v>107</v>
      </c>
    </row>
    <row r="44" spans="1:24" ht="12.75">
      <c r="A44" s="3"/>
      <c r="B44" s="3"/>
      <c r="C44" s="3"/>
      <c r="D44" s="3"/>
      <c r="E44" s="3"/>
      <c r="F44" s="3"/>
      <c r="M44" s="16" t="s">
        <v>71</v>
      </c>
      <c r="N44" s="16" t="s">
        <v>106</v>
      </c>
      <c r="O44" s="16" t="s">
        <v>73</v>
      </c>
      <c r="P44" s="16" t="s">
        <v>74</v>
      </c>
      <c r="Q44" t="s">
        <v>81</v>
      </c>
      <c r="R44" t="s">
        <v>71</v>
      </c>
      <c r="S44" t="s">
        <v>85</v>
      </c>
      <c r="T44" t="s">
        <v>88</v>
      </c>
      <c r="U44" t="s">
        <v>92</v>
      </c>
      <c r="V44" t="s">
        <v>93</v>
      </c>
      <c r="W44" t="s">
        <v>71</v>
      </c>
      <c r="X44" t="s">
        <v>106</v>
      </c>
    </row>
    <row r="45" spans="1:24" ht="12.75">
      <c r="A45" s="30" t="s">
        <v>137</v>
      </c>
      <c r="B45" s="33">
        <v>32</v>
      </c>
      <c r="C45" s="34">
        <v>1.8</v>
      </c>
      <c r="D45" s="6" t="s">
        <v>132</v>
      </c>
      <c r="E45" s="36">
        <f>TRUNC(W48)</f>
        <v>166</v>
      </c>
      <c r="F45" s="37">
        <f>ABS(W48-E45)*60</f>
        <v>20.406104186729408</v>
      </c>
      <c r="J45" t="s">
        <v>37</v>
      </c>
      <c r="K45" t="s">
        <v>38</v>
      </c>
      <c r="L45" t="b">
        <f>AND(1961&lt;A2,A2&lt;=1986)</f>
        <v>0</v>
      </c>
      <c r="M45" s="16">
        <v>12</v>
      </c>
      <c r="N45" s="16">
        <v>55</v>
      </c>
      <c r="O45" s="16">
        <v>0.11174</v>
      </c>
      <c r="P45" s="16">
        <v>-0.00899</v>
      </c>
      <c r="Q45">
        <f>COS(P48)*SIN(O48+$B$375)</f>
        <v>-0.13156400870421905</v>
      </c>
      <c r="R45">
        <f>DEGREES(ATAN2(Q46,Q45))+$C$375</f>
        <v>-166.34673274203897</v>
      </c>
      <c r="S45">
        <f>RADIANS(R46)</f>
        <v>3.379887120895951</v>
      </c>
      <c r="T45">
        <f>(COS($D$367)+SIN($D$367)*SIN(S45)*TAN(S48))*$A$364-COS(S45)*TAN(S48)*$A$367</f>
        <v>-2.8214996681256134E-06</v>
      </c>
      <c r="U45">
        <f>COS(S45)*COS($D$388)*COS($D$367)+SIN(S45)*SIN($D$388)</f>
        <v>-0.02674050942277173</v>
      </c>
      <c r="V45">
        <f>COS($D$388)*COS($D$367)*(TAN($D$367)*COS(S48)-SIN(S45)*SIN(S48))+COS(S45)*SIN(S48)*SIN($D$388)</f>
        <v>-0.8750446695418008</v>
      </c>
      <c r="W45">
        <f>DEGREES(U48+T45+S45)</f>
        <v>193.6598982635545</v>
      </c>
      <c r="X45">
        <f>DEGREES(V48+T48+S48)</f>
        <v>55.889193799611036</v>
      </c>
    </row>
    <row r="46" spans="1:22" ht="12.75">
      <c r="A46" s="3" t="s">
        <v>104</v>
      </c>
      <c r="B46" s="3" t="s">
        <v>105</v>
      </c>
      <c r="C46" s="3" t="s">
        <v>102</v>
      </c>
      <c r="D46" s="3" t="s">
        <v>106</v>
      </c>
      <c r="E46" s="3" t="s">
        <v>105</v>
      </c>
      <c r="F46" s="3" t="s">
        <v>102</v>
      </c>
      <c r="J46" t="s">
        <v>23</v>
      </c>
      <c r="K46">
        <f>K3-1975</f>
        <v>38.375</v>
      </c>
      <c r="M46" s="16">
        <v>54</v>
      </c>
      <c r="N46" s="16">
        <v>57</v>
      </c>
      <c r="O46" t="s">
        <v>77</v>
      </c>
      <c r="P46" t="s">
        <v>78</v>
      </c>
      <c r="Q46">
        <f>COS($F$375)*COS(P48)*COS(O48+$B$375)-SIN($F$375)*SIN(P48)</f>
        <v>-0.5451709899167496</v>
      </c>
      <c r="R46">
        <f>R45-360*INT(R45/360)</f>
        <v>193.65326725796103</v>
      </c>
      <c r="U46">
        <f>COS(S45)*COS($D$383)*COS($D$367)+SIN(S45)*SIN($D$383)</f>
        <v>-0.6695732112815976</v>
      </c>
      <c r="V46">
        <f>COS($D$383)*COS($D$367)*(TAN($D$367)*COS(S48)-SIN(S45)*SIN(S48))+COS(S45)*SIN(S48)*SIN($D$383)</f>
        <v>-0.47279129805109416</v>
      </c>
    </row>
    <row r="47" spans="1:24" ht="12.75">
      <c r="A47" s="9">
        <f>($C$370+E45+F45/60)-INT(($C$370+E45+F45/60)/360)*360</f>
        <v>73.25166146977483</v>
      </c>
      <c r="B47" s="22">
        <f>TRUNC(A47)</f>
        <v>73</v>
      </c>
      <c r="C47" s="23">
        <f>(A47-B47)*60</f>
        <v>15.099688186489857</v>
      </c>
      <c r="D47" s="38" t="str">
        <f>IF(X45&gt;=0,"N","S")</f>
        <v>N</v>
      </c>
      <c r="E47" s="22">
        <f>ABS(TRUNC(X45))</f>
        <v>55</v>
      </c>
      <c r="F47" s="23">
        <f>ABS(X45-TRUNC(X45))*60</f>
        <v>53.351627976662144</v>
      </c>
      <c r="J47" t="s">
        <v>16</v>
      </c>
      <c r="K47">
        <f>45.45+K46*(1.067+K46*(-1/260-K46/718))</f>
        <v>2.0237883560772403</v>
      </c>
      <c r="L47">
        <f>K47*L45</f>
        <v>0</v>
      </c>
      <c r="M47" s="17">
        <v>1.749</v>
      </c>
      <c r="N47" s="17">
        <v>35.36</v>
      </c>
      <c r="O47" s="14">
        <f>M48+O45/3600*$A$361</f>
        <v>193.5077027611681</v>
      </c>
      <c r="P47" s="14">
        <f>N48+P45/3600*$A$361</f>
        <v>55.95978881253991</v>
      </c>
      <c r="Q47" s="14">
        <f>SIN($F$375)*COS(P48)*COS(O48+$B$375)+COS($F$375)*SIN(P48)</f>
        <v>0.8279368957637215</v>
      </c>
      <c r="R47" s="14" t="s">
        <v>106</v>
      </c>
      <c r="S47" s="8" t="s">
        <v>86</v>
      </c>
      <c r="T47" s="8" t="s">
        <v>89</v>
      </c>
      <c r="U47" s="8" t="s">
        <v>88</v>
      </c>
      <c r="V47" s="8" t="s">
        <v>89</v>
      </c>
      <c r="W47" s="8" t="s">
        <v>97</v>
      </c>
      <c r="X47" s="8"/>
    </row>
    <row r="48" spans="1:23" ht="12.75">
      <c r="A48" s="3"/>
      <c r="B48" s="3"/>
      <c r="C48" s="3"/>
      <c r="D48" s="3"/>
      <c r="E48" s="3"/>
      <c r="F48" s="3"/>
      <c r="M48" s="13">
        <f>(M45+M46/60+M47/3600)*15</f>
        <v>193.50728750000002</v>
      </c>
      <c r="N48" s="13">
        <f>N45+N46/60+N47/3600</f>
        <v>55.95982222222222</v>
      </c>
      <c r="O48">
        <f>RADIANS(O47)</f>
        <v>3.377346541152906</v>
      </c>
      <c r="P48">
        <f>RADIANS(P47)</f>
        <v>0.9766825634995093</v>
      </c>
      <c r="R48">
        <f>DEGREES(ASIN(Q47))</f>
        <v>55.8873869349955</v>
      </c>
      <c r="S48">
        <f>RADIANS(R48)</f>
        <v>0.9754189123517336</v>
      </c>
      <c r="T48">
        <f>SIN($D$367)*COS(S45)*$A$364+SIN(S45)*$A$367</f>
        <v>-1.3990902881225967E-05</v>
      </c>
      <c r="U48" s="15">
        <f>($A$388*U45-U46)*$V$12/COS(S48)</f>
        <v>0.0001185543799926551</v>
      </c>
      <c r="V48" s="15">
        <f>($A$388*V45-V46)*$V$12</f>
        <v>4.552663956014609E-05</v>
      </c>
      <c r="W48">
        <f>360-W45</f>
        <v>166.3401017364455</v>
      </c>
    </row>
    <row r="49" spans="1:24" ht="12.75">
      <c r="A49" s="3" t="s">
        <v>107</v>
      </c>
      <c r="B49" s="3" t="s">
        <v>107</v>
      </c>
      <c r="C49" s="3" t="s">
        <v>107</v>
      </c>
      <c r="D49" s="3" t="s">
        <v>107</v>
      </c>
      <c r="E49" s="3" t="s">
        <v>107</v>
      </c>
      <c r="F49" s="3" t="s">
        <v>107</v>
      </c>
      <c r="J49" t="s">
        <v>39</v>
      </c>
      <c r="K49" t="s">
        <v>40</v>
      </c>
      <c r="L49" t="b">
        <f>AND(1986&lt;A2,A2&lt;=2005)</f>
        <v>0</v>
      </c>
      <c r="M49" s="3" t="s">
        <v>107</v>
      </c>
      <c r="N49" s="3" t="s">
        <v>138</v>
      </c>
      <c r="O49" s="3" t="s">
        <v>107</v>
      </c>
      <c r="P49" s="3" t="s">
        <v>107</v>
      </c>
      <c r="Q49" s="3" t="s">
        <v>107</v>
      </c>
      <c r="R49" s="3" t="s">
        <v>107</v>
      </c>
      <c r="S49" s="3" t="s">
        <v>107</v>
      </c>
      <c r="T49" s="3" t="s">
        <v>138</v>
      </c>
      <c r="U49" s="3" t="s">
        <v>107</v>
      </c>
      <c r="V49" s="3" t="s">
        <v>107</v>
      </c>
      <c r="W49" s="3" t="s">
        <v>107</v>
      </c>
      <c r="X49" s="3" t="s">
        <v>107</v>
      </c>
    </row>
    <row r="50" spans="1:24" ht="12.75">
      <c r="A50" s="3"/>
      <c r="B50" s="3"/>
      <c r="C50" s="3"/>
      <c r="D50" s="3"/>
      <c r="E50" s="3"/>
      <c r="F50" s="3"/>
      <c r="J50" t="s">
        <v>23</v>
      </c>
      <c r="K50">
        <f>K3-2000</f>
        <v>13.375</v>
      </c>
      <c r="M50" s="16" t="s">
        <v>71</v>
      </c>
      <c r="N50" s="16" t="s">
        <v>106</v>
      </c>
      <c r="O50" s="16" t="s">
        <v>73</v>
      </c>
      <c r="P50" s="16" t="s">
        <v>74</v>
      </c>
      <c r="Q50" t="s">
        <v>81</v>
      </c>
      <c r="R50" t="s">
        <v>71</v>
      </c>
      <c r="S50" t="s">
        <v>85</v>
      </c>
      <c r="T50" t="s">
        <v>88</v>
      </c>
      <c r="U50" t="s">
        <v>92</v>
      </c>
      <c r="V50" t="s">
        <v>93</v>
      </c>
      <c r="W50" t="s">
        <v>71</v>
      </c>
      <c r="X50" t="s">
        <v>106</v>
      </c>
    </row>
    <row r="51" spans="1:24" ht="12.75">
      <c r="A51" s="30" t="s">
        <v>138</v>
      </c>
      <c r="B51" s="33">
        <v>34</v>
      </c>
      <c r="C51" s="34">
        <v>1.9</v>
      </c>
      <c r="D51" s="6" t="s">
        <v>132</v>
      </c>
      <c r="E51" s="36">
        <f>TRUNC(W54)</f>
        <v>152</v>
      </c>
      <c r="F51" s="37">
        <f>ABS(W54-E51)*60</f>
        <v>58.53950011500274</v>
      </c>
      <c r="J51" t="s">
        <v>16</v>
      </c>
      <c r="K51">
        <f>63.86+K50*(0.3345+K50*(-0.060374+K50*(0.0017275+K50*(0.000651814+0.00002373599*K50))))</f>
        <v>92.68576913090487</v>
      </c>
      <c r="L51">
        <f>K51*L49</f>
        <v>0</v>
      </c>
      <c r="M51" s="16">
        <v>13</v>
      </c>
      <c r="N51" s="16">
        <v>49</v>
      </c>
      <c r="O51" s="16">
        <v>-0.12123</v>
      </c>
      <c r="P51" s="16">
        <v>-0.01556</v>
      </c>
      <c r="Q51">
        <f>COS(P54)*SIN(O54+$B$375)</f>
        <v>-0.2956671740286003</v>
      </c>
      <c r="R51">
        <f>DEGREES(ATAN2(Q52,Q51))+$C$375</f>
        <v>-152.9830923699163</v>
      </c>
      <c r="S51">
        <f>RADIANS(R52)</f>
        <v>3.6131266454419317</v>
      </c>
      <c r="T51">
        <f>(COS($D$367)+SIN($D$367)*SIN(S51)*TAN(S54))*$A$364-COS(S51)*TAN(S54)*$A$367</f>
        <v>6.167718377627252E-06</v>
      </c>
      <c r="U51">
        <f>COS(S51)*COS($D$388)*COS($D$367)+SIN(S51)*SIN($D$388)</f>
        <v>-0.25611345504750604</v>
      </c>
      <c r="V51">
        <f>COS($D$388)*COS($D$367)*(TAN($D$367)*COS(S54)-SIN(S51)*SIN(S54))+COS(S51)*SIN(S54)*SIN($D$388)</f>
        <v>-0.7881826321405543</v>
      </c>
      <c r="W51">
        <f>DEGREES(U54+T51+S51)</f>
        <v>207.02434166474995</v>
      </c>
      <c r="X51">
        <f>DEGREES(V54+T54+S54)</f>
        <v>49.247987817967825</v>
      </c>
    </row>
    <row r="52" spans="1:22" ht="12.75">
      <c r="A52" s="3" t="s">
        <v>104</v>
      </c>
      <c r="B52" s="3" t="s">
        <v>105</v>
      </c>
      <c r="C52" s="3" t="s">
        <v>102</v>
      </c>
      <c r="D52" s="3" t="s">
        <v>106</v>
      </c>
      <c r="E52" s="3" t="s">
        <v>105</v>
      </c>
      <c r="F52" s="3" t="s">
        <v>102</v>
      </c>
      <c r="J52" s="11"/>
      <c r="K52" s="11"/>
      <c r="L52" s="11"/>
      <c r="M52" s="16">
        <v>47</v>
      </c>
      <c r="N52" s="16">
        <v>18</v>
      </c>
      <c r="O52" t="s">
        <v>77</v>
      </c>
      <c r="P52" t="s">
        <v>78</v>
      </c>
      <c r="Q52">
        <f>COS($F$375)*COS(P54)*COS(O54+$B$375)-SIN($F$375)*SIN(P54)</f>
        <v>-0.5820062410772181</v>
      </c>
      <c r="R52">
        <f>R51-360*INT(R51/360)</f>
        <v>207.0169076300837</v>
      </c>
      <c r="U52">
        <f>COS(S51)*COS($D$383)*COS($D$367)+SIN(S51)*SIN($D$383)</f>
        <v>-0.8161696262087736</v>
      </c>
      <c r="V52">
        <f>COS($D$383)*COS($D$367)*(TAN($D$367)*COS(S54)-SIN(S51)*SIN(S54))+COS(S51)*SIN(S54)*SIN($D$383)</f>
        <v>-0.2715234083310535</v>
      </c>
    </row>
    <row r="53" spans="1:24" ht="12.75">
      <c r="A53" s="9">
        <f>($C$370+E51+F51/60)-INT(($C$370+E51+F51/60)/360)*360</f>
        <v>59.88721806857939</v>
      </c>
      <c r="B53" s="22">
        <f>TRUNC(A53)</f>
        <v>59</v>
      </c>
      <c r="C53" s="23">
        <f>(A53-B53)*60</f>
        <v>53.23308411476319</v>
      </c>
      <c r="D53" s="38" t="str">
        <f>IF(X51&gt;=0,"N","S")</f>
        <v>N</v>
      </c>
      <c r="E53" s="22">
        <f>ABS(TRUNC(X51))</f>
        <v>49</v>
      </c>
      <c r="F53" s="23">
        <f>ABS(X51-TRUNC(X51))*60</f>
        <v>14.879269078069512</v>
      </c>
      <c r="J53" t="s">
        <v>41</v>
      </c>
      <c r="K53" t="s">
        <v>42</v>
      </c>
      <c r="L53" t="b">
        <f>AND(2005&lt;A2,A2&lt;=2050)</f>
        <v>1</v>
      </c>
      <c r="M53" s="17">
        <v>32.438</v>
      </c>
      <c r="N53" s="17">
        <v>47.75</v>
      </c>
      <c r="O53" s="14">
        <f>M54+O51/3600*$A$361</f>
        <v>206.88470780432485</v>
      </c>
      <c r="P53" s="14">
        <f>N54+P51/3600*$A$361</f>
        <v>49.31320606300938</v>
      </c>
      <c r="Q53" s="14">
        <f>SIN($F$375)*COS(P54)*COS(O54+$B$375)+COS($F$375)*SIN(P54)</f>
        <v>0.7575286513057499</v>
      </c>
      <c r="R53" s="14" t="s">
        <v>106</v>
      </c>
      <c r="S53" s="8" t="s">
        <v>86</v>
      </c>
      <c r="T53" s="8" t="s">
        <v>89</v>
      </c>
      <c r="U53" s="8" t="s">
        <v>88</v>
      </c>
      <c r="V53" s="8" t="s">
        <v>89</v>
      </c>
      <c r="W53" s="8" t="s">
        <v>97</v>
      </c>
      <c r="X53" s="8"/>
    </row>
    <row r="54" spans="1:23" ht="12.75">
      <c r="A54" s="3"/>
      <c r="B54" s="3"/>
      <c r="C54" s="3"/>
      <c r="D54" s="3"/>
      <c r="E54" s="3"/>
      <c r="F54" s="3"/>
      <c r="J54" t="s">
        <v>23</v>
      </c>
      <c r="K54">
        <f>K3-2000</f>
        <v>13.375</v>
      </c>
      <c r="M54" s="13">
        <f>(M51+M52/60+M53/3600)*15</f>
        <v>206.88515833333332</v>
      </c>
      <c r="N54" s="13">
        <f>N51+N52/60+N53/3600</f>
        <v>49.31326388888888</v>
      </c>
      <c r="O54">
        <f>RADIANS(O53)</f>
        <v>3.610819323211877</v>
      </c>
      <c r="P54">
        <f>RADIANS(P53)</f>
        <v>0.860677810513944</v>
      </c>
      <c r="R54">
        <f>DEGREES(ASIN(Q53))</f>
        <v>49.24681097861262</v>
      </c>
      <c r="S54">
        <f>RADIANS(R54)</f>
        <v>0.859518997684081</v>
      </c>
      <c r="T54">
        <f>SIN($D$367)*COS(S51)*$A$364+SIN(S51)*$A$367</f>
        <v>-5.132081637016672E-06</v>
      </c>
      <c r="U54" s="15">
        <f>($A$388*U51-U52)*$V$12/COS(S54)</f>
        <v>0.0001235806632563226</v>
      </c>
      <c r="V54" s="15">
        <f>($A$388*V51-V52)*$V$12</f>
        <v>2.5671803152448104E-05</v>
      </c>
      <c r="W54">
        <f>360-W51</f>
        <v>152.97565833525005</v>
      </c>
    </row>
    <row r="55" spans="1:24" ht="12.75">
      <c r="A55" s="3" t="s">
        <v>107</v>
      </c>
      <c r="B55" s="3" t="s">
        <v>107</v>
      </c>
      <c r="C55" s="3" t="s">
        <v>107</v>
      </c>
      <c r="D55" s="3" t="s">
        <v>107</v>
      </c>
      <c r="E55" s="3" t="s">
        <v>107</v>
      </c>
      <c r="F55" s="3" t="s">
        <v>107</v>
      </c>
      <c r="J55" t="s">
        <v>16</v>
      </c>
      <c r="K55">
        <f>62.92+K54*(0.32217+0.005589*K54)</f>
        <v>68.228843453125</v>
      </c>
      <c r="L55">
        <f>K55*L53</f>
        <v>68.228843453125</v>
      </c>
      <c r="M55" s="3" t="s">
        <v>107</v>
      </c>
      <c r="N55" s="3" t="s">
        <v>139</v>
      </c>
      <c r="O55" s="3" t="s">
        <v>107</v>
      </c>
      <c r="P55" s="3" t="s">
        <v>107</v>
      </c>
      <c r="Q55" s="3" t="s">
        <v>107</v>
      </c>
      <c r="R55" s="3" t="s">
        <v>107</v>
      </c>
      <c r="S55" s="3" t="s">
        <v>107</v>
      </c>
      <c r="T55" s="3" t="s">
        <v>139</v>
      </c>
      <c r="U55" s="3" t="s">
        <v>107</v>
      </c>
      <c r="V55" s="3" t="s">
        <v>107</v>
      </c>
      <c r="W55" s="3" t="s">
        <v>107</v>
      </c>
      <c r="X55" s="3" t="s">
        <v>107</v>
      </c>
    </row>
    <row r="56" spans="1:24" ht="12.75">
      <c r="A56" s="3"/>
      <c r="B56" s="3"/>
      <c r="C56" s="3"/>
      <c r="D56" s="3"/>
      <c r="E56" s="3"/>
      <c r="F56" s="3"/>
      <c r="M56" s="16" t="s">
        <v>71</v>
      </c>
      <c r="N56" s="16" t="s">
        <v>106</v>
      </c>
      <c r="O56" s="16" t="s">
        <v>73</v>
      </c>
      <c r="P56" s="16" t="s">
        <v>74</v>
      </c>
      <c r="Q56" t="s">
        <v>81</v>
      </c>
      <c r="R56" t="s">
        <v>71</v>
      </c>
      <c r="S56" t="s">
        <v>85</v>
      </c>
      <c r="T56" t="s">
        <v>88</v>
      </c>
      <c r="U56" t="s">
        <v>92</v>
      </c>
      <c r="V56" t="s">
        <v>93</v>
      </c>
      <c r="W56" t="s">
        <v>71</v>
      </c>
      <c r="X56" t="s">
        <v>106</v>
      </c>
    </row>
    <row r="57" spans="1:24" ht="12.75">
      <c r="A57" s="30" t="s">
        <v>139</v>
      </c>
      <c r="B57" s="33">
        <v>55</v>
      </c>
      <c r="C57" s="34">
        <v>1.7</v>
      </c>
      <c r="D57" s="6" t="s">
        <v>132</v>
      </c>
      <c r="E57" s="36">
        <f>TRUNC(W60)</f>
        <v>27</v>
      </c>
      <c r="F57" s="37">
        <f>ABS(W60-E57)*60</f>
        <v>43.86911337610741</v>
      </c>
      <c r="J57" s="11" t="s">
        <v>43</v>
      </c>
      <c r="K57" s="11" t="s">
        <v>44</v>
      </c>
      <c r="L57" s="11" t="b">
        <f>AND(2050&lt;A2,A2&lt;=2150)</f>
        <v>0</v>
      </c>
      <c r="M57" s="16">
        <v>22</v>
      </c>
      <c r="N57" s="16">
        <v>-46</v>
      </c>
      <c r="O57" s="16">
        <v>0.1276</v>
      </c>
      <c r="P57" s="16">
        <v>-0.14791</v>
      </c>
      <c r="Q57">
        <f>COS(P60)*SIN(O60+$B$375)</f>
        <v>-0.31888900154479033</v>
      </c>
      <c r="R57">
        <f>DEGREES(ATAN2(Q58,Q57))+$C$375</f>
        <v>-27.73262613611592</v>
      </c>
      <c r="S57">
        <f>RADIANS(R58)</f>
        <v>5.79915967087973</v>
      </c>
      <c r="T57">
        <f>(COS($D$367)+SIN($D$367)*SIN(S57)*TAN(S60))*$A$364-COS(S57)*TAN(S60)*$A$367</f>
        <v>3.1814052464520254E-05</v>
      </c>
      <c r="U57">
        <f>COS(S57)*COS($D$388)*COS($D$367)+SIN(S57)*SIN($D$388)</f>
        <v>-0.638108134081679</v>
      </c>
      <c r="V57">
        <f>COS($D$388)*COS($D$367)*(TAN($D$367)*COS(S60)-SIN(S57)*SIN(S60))+COS(S57)*SIN(S60)*SIN($D$388)</f>
        <v>-0.6201500156939468</v>
      </c>
      <c r="W57">
        <f>DEGREES(U60+T57+S57)</f>
        <v>332.2688481103982</v>
      </c>
      <c r="X57">
        <f>DEGREES(V60+T60+S60)</f>
        <v>-46.89047822987674</v>
      </c>
    </row>
    <row r="58" spans="1:22" ht="12.75">
      <c r="A58" s="3" t="s">
        <v>104</v>
      </c>
      <c r="B58" s="3" t="s">
        <v>105</v>
      </c>
      <c r="C58" s="3" t="s">
        <v>102</v>
      </c>
      <c r="D58" s="3" t="s">
        <v>106</v>
      </c>
      <c r="E58" s="3" t="s">
        <v>105</v>
      </c>
      <c r="F58" s="3" t="s">
        <v>102</v>
      </c>
      <c r="J58" t="s">
        <v>16</v>
      </c>
      <c r="K58">
        <f>-20+32*((K3-1820)/100)*((K3-1820)/100)-0.5628*(2150-K3)</f>
        <v>22.76790000000001</v>
      </c>
      <c r="L58">
        <f>K58*L57</f>
        <v>0</v>
      </c>
      <c r="M58" s="16">
        <v>8</v>
      </c>
      <c r="N58" s="16">
        <v>-57</v>
      </c>
      <c r="O58" t="s">
        <v>77</v>
      </c>
      <c r="P58" t="s">
        <v>78</v>
      </c>
      <c r="Q58">
        <f>COS($F$375)*COS(P60)*COS(O60+$B$375)-SIN($F$375)*SIN(P60)</f>
        <v>0.6043578759805205</v>
      </c>
      <c r="R58">
        <f>R57-360*INT(R57/360)</f>
        <v>332.2673738638841</v>
      </c>
      <c r="U58">
        <f>COS(S57)*COS($D$383)*COS($D$367)+SIN(S57)*SIN($D$383)</f>
        <v>0.031178288219037398</v>
      </c>
      <c r="V58">
        <f>COS($D$383)*COS($D$367)*(TAN($D$367)*COS(S60)-SIN(S57)*SIN(S60))+COS(S57)*SIN(S60)*SIN($D$383)</f>
        <v>-0.570707055775405</v>
      </c>
    </row>
    <row r="59" spans="1:24" ht="12.75">
      <c r="A59" s="9">
        <f>($C$370+E57+F57/60)-INT(($C$370+E57+F57/60)/360)*360</f>
        <v>294.64271162293113</v>
      </c>
      <c r="B59" s="22">
        <f>TRUNC(A59)</f>
        <v>294</v>
      </c>
      <c r="C59" s="23">
        <f>(A59-B59)*60</f>
        <v>38.562697375867856</v>
      </c>
      <c r="D59" s="38" t="str">
        <f>IF(X57&gt;=0,"N","S")</f>
        <v>S</v>
      </c>
      <c r="E59" s="22">
        <f>ABS(TRUNC(X57))</f>
        <v>46</v>
      </c>
      <c r="F59" s="23">
        <f>ABS(X57-TRUNC(X57))*60</f>
        <v>53.42869379260449</v>
      </c>
      <c r="M59" s="17">
        <v>13.986</v>
      </c>
      <c r="N59" s="17">
        <v>-39.51</v>
      </c>
      <c r="O59" s="14">
        <f>M60+O57/3600*$A$361</f>
        <v>332.0587492019424</v>
      </c>
      <c r="P59" s="14">
        <f>N60+P57/3600*$A$361</f>
        <v>-46.961524680323706</v>
      </c>
      <c r="Q59" s="14">
        <f>SIN($F$375)*COS(P60)*COS(O60+$B$375)+COS($F$375)*SIN(P60)</f>
        <v>-0.730110513849842</v>
      </c>
      <c r="R59" s="14" t="s">
        <v>106</v>
      </c>
      <c r="S59" s="8" t="s">
        <v>86</v>
      </c>
      <c r="T59" s="8" t="s">
        <v>89</v>
      </c>
      <c r="U59" s="8" t="s">
        <v>88</v>
      </c>
      <c r="V59" s="8" t="s">
        <v>89</v>
      </c>
      <c r="W59" s="8" t="s">
        <v>97</v>
      </c>
      <c r="X59" s="8"/>
    </row>
    <row r="60" spans="1:23" ht="12.75">
      <c r="A60" s="3"/>
      <c r="B60" s="3"/>
      <c r="C60" s="3"/>
      <c r="D60" s="3"/>
      <c r="E60" s="3"/>
      <c r="F60" s="3"/>
      <c r="M60" s="13">
        <f>(M57+M58/60+M59/3600)*15</f>
        <v>332.058275</v>
      </c>
      <c r="N60" s="13">
        <f>N57+N58/60+N59/3600</f>
        <v>-46.960975000000005</v>
      </c>
      <c r="O60">
        <f>RADIANS(O59)</f>
        <v>5.795518483627989</v>
      </c>
      <c r="P60">
        <f>RADIANS(P59)</f>
        <v>-0.8196332274282262</v>
      </c>
      <c r="R60">
        <f>DEGREES(ASIN(Q59))</f>
        <v>-46.895659619339824</v>
      </c>
      <c r="S60">
        <f>RADIANS(R60)</f>
        <v>-0.8184836652520306</v>
      </c>
      <c r="T60">
        <f>SIN($D$367)*COS(S57)*$A$364+SIN(S57)*$A$367</f>
        <v>3.475321123072078E-05</v>
      </c>
      <c r="U60" s="15">
        <f>($A$388*U57-U58)*$V$12/COS(S60)</f>
        <v>-6.0835968071103155E-06</v>
      </c>
      <c r="V60" s="15">
        <f>($A$388*V57-V58)*$V$12</f>
        <v>5.5679094728262317E-05</v>
      </c>
      <c r="W60">
        <f>360-W57</f>
        <v>27.73115188960179</v>
      </c>
    </row>
    <row r="61" spans="1:24" ht="12.75">
      <c r="A61" s="3" t="s">
        <v>107</v>
      </c>
      <c r="B61" s="3" t="s">
        <v>107</v>
      </c>
      <c r="C61" s="3" t="s">
        <v>107</v>
      </c>
      <c r="D61" s="3" t="s">
        <v>107</v>
      </c>
      <c r="E61" s="3" t="s">
        <v>107</v>
      </c>
      <c r="F61" s="3" t="s">
        <v>107</v>
      </c>
      <c r="M61" s="3" t="s">
        <v>107</v>
      </c>
      <c r="N61" s="3" t="s">
        <v>140</v>
      </c>
      <c r="O61" s="3" t="s">
        <v>107</v>
      </c>
      <c r="P61" s="3" t="s">
        <v>107</v>
      </c>
      <c r="Q61" s="3" t="s">
        <v>107</v>
      </c>
      <c r="R61" s="3" t="s">
        <v>107</v>
      </c>
      <c r="S61" s="3" t="s">
        <v>107</v>
      </c>
      <c r="T61" s="3" t="s">
        <v>140</v>
      </c>
      <c r="U61" s="3" t="s">
        <v>107</v>
      </c>
      <c r="V61" s="3" t="s">
        <v>107</v>
      </c>
      <c r="W61" s="3" t="s">
        <v>107</v>
      </c>
      <c r="X61" s="3" t="s">
        <v>107</v>
      </c>
    </row>
    <row r="62" spans="1:24" ht="12.75">
      <c r="A62" s="3"/>
      <c r="B62" s="3"/>
      <c r="C62" s="3"/>
      <c r="D62" s="3"/>
      <c r="E62" s="3"/>
      <c r="F62" s="3"/>
      <c r="M62" s="16" t="s">
        <v>71</v>
      </c>
      <c r="N62" s="16" t="s">
        <v>106</v>
      </c>
      <c r="O62" s="16" t="s">
        <v>73</v>
      </c>
      <c r="P62" s="16" t="s">
        <v>74</v>
      </c>
      <c r="Q62" t="s">
        <v>81</v>
      </c>
      <c r="R62" t="s">
        <v>71</v>
      </c>
      <c r="S62" t="s">
        <v>85</v>
      </c>
      <c r="T62" t="s">
        <v>88</v>
      </c>
      <c r="U62" t="s">
        <v>92</v>
      </c>
      <c r="V62" t="s">
        <v>93</v>
      </c>
      <c r="W62" t="s">
        <v>71</v>
      </c>
      <c r="X62" t="s">
        <v>106</v>
      </c>
    </row>
    <row r="63" spans="1:24" ht="12.75">
      <c r="A63" s="30" t="s">
        <v>140</v>
      </c>
      <c r="B63" s="33">
        <v>15</v>
      </c>
      <c r="C63" s="34">
        <v>1.7</v>
      </c>
      <c r="D63" s="6" t="s">
        <v>132</v>
      </c>
      <c r="E63" s="36">
        <f>TRUNC(W66)</f>
        <v>275</v>
      </c>
      <c r="F63" s="37">
        <f>ABS(W66-E63)*60</f>
        <v>46.729863484524685</v>
      </c>
      <c r="J63" s="11"/>
      <c r="K63" s="11"/>
      <c r="L63" s="11"/>
      <c r="M63" s="16">
        <v>5</v>
      </c>
      <c r="N63" s="16">
        <v>-1</v>
      </c>
      <c r="O63" s="16">
        <v>0.00149</v>
      </c>
      <c r="P63" s="16">
        <v>-0.00106</v>
      </c>
      <c r="Q63">
        <f>COS(P66)*SIN(O66+$B$375)</f>
        <v>0.9945538651672388</v>
      </c>
      <c r="R63">
        <f>DEGREES(ATAN2(Q64,Q63))+$C$375</f>
        <v>84.22326308169343</v>
      </c>
      <c r="S63">
        <f>RADIANS(R64)</f>
        <v>1.4699732475489362</v>
      </c>
      <c r="T63">
        <f>(COS($D$367)+SIN($D$367)*SIN(S63)*TAN(S66))*$A$364-COS(S63)*TAN(S66)*$A$367</f>
        <v>5.081296889472715E-05</v>
      </c>
      <c r="U63">
        <f>COS(S63)*COS($D$388)*COS($D$367)+SIN(S63)*SIN($D$388)</f>
        <v>0.9477269752362695</v>
      </c>
      <c r="V63">
        <f>COS($D$388)*COS($D$367)*(TAN($D$367)*COS(S66)-SIN(S63)*SIN(S66))+COS(S63)*SIN(S66)*SIN($D$388)</f>
        <v>-0.0969565999372306</v>
      </c>
      <c r="W63">
        <f>DEGREES(U66+T63+S63)</f>
        <v>84.2211689419246</v>
      </c>
      <c r="X63">
        <f>DEGREES(V66+T66+S66)</f>
        <v>-1.1972785769134067</v>
      </c>
    </row>
    <row r="64" spans="1:22" ht="12.75">
      <c r="A64" s="3" t="s">
        <v>104</v>
      </c>
      <c r="B64" s="3" t="s">
        <v>105</v>
      </c>
      <c r="C64" s="3" t="s">
        <v>102</v>
      </c>
      <c r="D64" s="3" t="s">
        <v>106</v>
      </c>
      <c r="E64" s="3" t="s">
        <v>105</v>
      </c>
      <c r="F64" s="3" t="s">
        <v>102</v>
      </c>
      <c r="M64" s="16">
        <v>36</v>
      </c>
      <c r="N64" s="16">
        <v>-12</v>
      </c>
      <c r="O64" t="s">
        <v>77</v>
      </c>
      <c r="P64" t="s">
        <v>78</v>
      </c>
      <c r="Q64">
        <f>COS($F$375)*COS(P66)*COS(O66+$B$375)-SIN($F$375)*SIN(P66)</f>
        <v>0.1021184037446873</v>
      </c>
      <c r="R64">
        <f>R63-360*INT(R63/360)</f>
        <v>84.22326308169343</v>
      </c>
      <c r="U64">
        <f>COS(S63)*COS($D$383)*COS($D$367)+SIN(S63)*SIN($D$383)</f>
        <v>0.8948471421029781</v>
      </c>
      <c r="V64">
        <f>COS($D$383)*COS($D$367)*(TAN($D$367)*COS(S66)-SIN(S63)*SIN(S66))+COS(S63)*SIN(S66)*SIN($D$383)</f>
        <v>0.21729418541168666</v>
      </c>
    </row>
    <row r="65" spans="1:24" ht="12.75">
      <c r="A65" s="9">
        <f>($C$370+E63+F63/60)-INT(($C$370+E63+F63/60)/360)*360</f>
        <v>182.69039079140475</v>
      </c>
      <c r="B65" s="22">
        <f>TRUNC(A65)</f>
        <v>182</v>
      </c>
      <c r="C65" s="23">
        <f>(A65-B65)*60</f>
        <v>41.423447484285134</v>
      </c>
      <c r="D65" s="38" t="str">
        <f>IF(X63&gt;=0,"N","S")</f>
        <v>S</v>
      </c>
      <c r="E65" s="22">
        <f>ABS(TRUNC(X63))</f>
        <v>1</v>
      </c>
      <c r="F65" s="23">
        <f>ABS(X63-TRUNC(X63))*60</f>
        <v>11.8367146148044</v>
      </c>
      <c r="M65" s="17">
        <v>12.813</v>
      </c>
      <c r="N65" s="17">
        <v>-6.91</v>
      </c>
      <c r="O65" s="14">
        <f>M66+O63/3600*$A$361</f>
        <v>84.05339303731107</v>
      </c>
      <c r="P65" s="14">
        <f>N66+P63/3600*$A$361</f>
        <v>-1.2019233837395773</v>
      </c>
      <c r="Q65" s="14">
        <f>SIN($F$375)*COS(P66)*COS(O66+$B$375)+COS($F$375)*SIN(P66)</f>
        <v>-0.02084324584950015</v>
      </c>
      <c r="R65" s="14" t="s">
        <v>106</v>
      </c>
      <c r="S65" s="8" t="s">
        <v>86</v>
      </c>
      <c r="T65" s="8" t="s">
        <v>89</v>
      </c>
      <c r="U65" s="8" t="s">
        <v>88</v>
      </c>
      <c r="V65" s="8" t="s">
        <v>89</v>
      </c>
      <c r="W65" s="8" t="s">
        <v>97</v>
      </c>
      <c r="X65" s="8"/>
    </row>
    <row r="66" spans="1:23" ht="12.75">
      <c r="A66" s="3"/>
      <c r="B66" s="3"/>
      <c r="C66" s="3"/>
      <c r="D66" s="3"/>
      <c r="E66" s="3"/>
      <c r="F66" s="3"/>
      <c r="M66" s="13">
        <f>(M63+M64/60+M65/3600)*15</f>
        <v>84.05338749999999</v>
      </c>
      <c r="N66" s="13">
        <f>N63+N64/60+N65/3600</f>
        <v>-1.2019194444444443</v>
      </c>
      <c r="O66">
        <f>RADIANS(O65)</f>
        <v>1.4670084559739551</v>
      </c>
      <c r="P66">
        <f>RADIANS(P65)</f>
        <v>-0.0209775204029669</v>
      </c>
      <c r="R66">
        <f>DEGREES(ASIN(Q65))</f>
        <v>-1.194316505832646</v>
      </c>
      <c r="S66">
        <f>RADIANS(R66)</f>
        <v>-0.020844755337693734</v>
      </c>
      <c r="T66">
        <f>SIN($D$367)*COS(S63)*$A$364+SIN(S63)*$A$367</f>
        <v>-2.99455193796622E-05</v>
      </c>
      <c r="U66" s="15">
        <f>($A$388*U63-U64)*$V$12/COS(S66)</f>
        <v>-8.736260285759451E-05</v>
      </c>
      <c r="V66" s="15">
        <f>($A$388*V63-V64)*$V$12</f>
        <v>-2.175237365771747E-05</v>
      </c>
      <c r="W66">
        <f>360-W63</f>
        <v>275.7788310580754</v>
      </c>
    </row>
    <row r="67" spans="1:24" ht="12.75">
      <c r="A67" s="3" t="s">
        <v>107</v>
      </c>
      <c r="B67" s="3" t="s">
        <v>107</v>
      </c>
      <c r="C67" s="3" t="s">
        <v>107</v>
      </c>
      <c r="D67" s="3" t="s">
        <v>107</v>
      </c>
      <c r="E67" s="3" t="s">
        <v>107</v>
      </c>
      <c r="F67" s="3" t="s">
        <v>107</v>
      </c>
      <c r="M67" s="3" t="s">
        <v>107</v>
      </c>
      <c r="N67" s="3" t="s">
        <v>141</v>
      </c>
      <c r="O67" s="3" t="s">
        <v>107</v>
      </c>
      <c r="P67" s="3" t="s">
        <v>107</v>
      </c>
      <c r="Q67" s="3" t="s">
        <v>107</v>
      </c>
      <c r="R67" s="3" t="s">
        <v>107</v>
      </c>
      <c r="S67" s="3" t="s">
        <v>107</v>
      </c>
      <c r="T67" s="3" t="s">
        <v>141</v>
      </c>
      <c r="U67" s="3" t="s">
        <v>107</v>
      </c>
      <c r="V67" s="3" t="s">
        <v>107</v>
      </c>
      <c r="W67" s="3" t="s">
        <v>107</v>
      </c>
      <c r="X67" s="3" t="s">
        <v>107</v>
      </c>
    </row>
    <row r="68" spans="1:24" ht="12.75">
      <c r="A68" s="3"/>
      <c r="B68" s="3"/>
      <c r="C68" s="3"/>
      <c r="D68" s="3"/>
      <c r="E68" s="3"/>
      <c r="F68" s="3"/>
      <c r="M68" s="16" t="s">
        <v>71</v>
      </c>
      <c r="N68" s="16" t="s">
        <v>106</v>
      </c>
      <c r="O68" s="16" t="s">
        <v>73</v>
      </c>
      <c r="P68" s="16" t="s">
        <v>74</v>
      </c>
      <c r="Q68" t="s">
        <v>81</v>
      </c>
      <c r="R68" t="s">
        <v>71</v>
      </c>
      <c r="S68" t="s">
        <v>85</v>
      </c>
      <c r="T68" t="s">
        <v>88</v>
      </c>
      <c r="U68" t="s">
        <v>92</v>
      </c>
      <c r="V68" t="s">
        <v>93</v>
      </c>
      <c r="W68" t="s">
        <v>71</v>
      </c>
      <c r="X68" t="s">
        <v>106</v>
      </c>
    </row>
    <row r="69" spans="1:24" ht="12.75">
      <c r="A69" s="30" t="s">
        <v>141</v>
      </c>
      <c r="B69" s="33">
        <v>25</v>
      </c>
      <c r="C69" s="34">
        <v>2</v>
      </c>
      <c r="D69" s="6" t="s">
        <v>132</v>
      </c>
      <c r="E69" s="36">
        <f>TRUNC(W72)</f>
        <v>217</v>
      </c>
      <c r="F69" s="37">
        <f>ABS(W72-E69)*60</f>
        <v>56.19002732438673</v>
      </c>
      <c r="M69" s="16">
        <v>9</v>
      </c>
      <c r="N69" s="16">
        <v>-8</v>
      </c>
      <c r="O69" s="16">
        <v>-0.01449</v>
      </c>
      <c r="P69" s="16">
        <v>0.03325</v>
      </c>
      <c r="Q69">
        <f>COS(P72)*SIN(O72+$B$375)</f>
        <v>0.6088828453196761</v>
      </c>
      <c r="R69">
        <f>DEGREES(ATAN2(Q70,Q69))+$C$375</f>
        <v>142.0612012208531</v>
      </c>
      <c r="S69">
        <f>RADIANS(R70)</f>
        <v>2.4794357006420746</v>
      </c>
      <c r="T69">
        <f>(COS($D$367)+SIN($D$367)*SIN(S69)*TAN(S72))*$A$364-COS(S69)*TAN(S72)*$A$367</f>
        <v>5.315634981942257E-05</v>
      </c>
      <c r="U69">
        <f>COS(S69)*COS($D$388)*COS($D$367)+SIN(S69)*SIN($D$388)</f>
        <v>0.763490716059608</v>
      </c>
      <c r="V69">
        <f>COS($D$388)*COS($D$367)*(TAN($D$367)*COS(S72)-SIN(S69)*SIN(S72))+COS(S69)*SIN(S72)*SIN($D$388)</f>
        <v>0.007357584890062871</v>
      </c>
      <c r="W69">
        <f>DEGREES(U72+T69+S69)</f>
        <v>142.06349954459355</v>
      </c>
      <c r="X69">
        <f>DEGREES(V72+T72+S72)</f>
        <v>-8.721313018398625</v>
      </c>
    </row>
    <row r="70" spans="1:22" ht="12.75">
      <c r="A70" s="3" t="s">
        <v>104</v>
      </c>
      <c r="B70" s="3" t="s">
        <v>105</v>
      </c>
      <c r="C70" s="3" t="s">
        <v>102</v>
      </c>
      <c r="D70" s="3" t="s">
        <v>106</v>
      </c>
      <c r="E70" s="3" t="s">
        <v>105</v>
      </c>
      <c r="F70" s="3" t="s">
        <v>102</v>
      </c>
      <c r="M70" s="16">
        <v>27</v>
      </c>
      <c r="N70" s="16">
        <v>-39</v>
      </c>
      <c r="O70" t="s">
        <v>77</v>
      </c>
      <c r="P70" t="s">
        <v>78</v>
      </c>
      <c r="Q70">
        <f>COS($F$375)*COS(P72)*COS(O72+$B$375)-SIN($F$375)*SIN(P72)</f>
        <v>-0.778647682417551</v>
      </c>
      <c r="R70">
        <f>R69-360*INT(R69/360)</f>
        <v>142.0612012208531</v>
      </c>
      <c r="U70">
        <f>COS(S69)*COS($D$383)*COS($D$367)+SIN(S69)*SIN($D$383)</f>
        <v>0.14250005046010478</v>
      </c>
      <c r="V70">
        <f>COS($D$383)*COS($D$367)*(TAN($D$367)*COS(S72)-SIN(S69)*SIN(S72))+COS(S69)*SIN(S72)*SIN($D$383)</f>
        <v>0.3533281764122135</v>
      </c>
    </row>
    <row r="71" spans="1:24" ht="12.75">
      <c r="A71" s="9">
        <f>($C$370+E69+F69/60)-INT(($C$370+E69+F69/60)/360)*360</f>
        <v>124.84806018873576</v>
      </c>
      <c r="B71" s="22">
        <f>TRUNC(A71)</f>
        <v>124</v>
      </c>
      <c r="C71" s="23">
        <f>(A71-B71)*60</f>
        <v>50.88361132414548</v>
      </c>
      <c r="D71" s="38" t="str">
        <f>IF(X69&gt;=0,"N","S")</f>
        <v>S</v>
      </c>
      <c r="E71" s="22">
        <f>ABS(TRUNC(X69))</f>
        <v>8</v>
      </c>
      <c r="F71" s="23">
        <f>ABS(X69-TRUNC(X69))*60</f>
        <v>43.27878110391751</v>
      </c>
      <c r="M71" s="17">
        <v>35.243</v>
      </c>
      <c r="N71" s="17">
        <v>-30.97</v>
      </c>
      <c r="O71" s="14">
        <f>M72+O69/3600*$A$361</f>
        <v>141.89679198391215</v>
      </c>
      <c r="P71" s="14">
        <f>N72+P69/3600*$A$361</f>
        <v>-8.658479210265352</v>
      </c>
      <c r="Q71" s="14">
        <f>SIN($F$375)*COS(P72)*COS(O72+$B$375)+COS($F$375)*SIN(P72)</f>
        <v>-0.1515568122559725</v>
      </c>
      <c r="R71" s="14" t="s">
        <v>106</v>
      </c>
      <c r="S71" s="8" t="s">
        <v>86</v>
      </c>
      <c r="T71" s="8" t="s">
        <v>89</v>
      </c>
      <c r="U71" s="8" t="s">
        <v>88</v>
      </c>
      <c r="V71" s="8" t="s">
        <v>89</v>
      </c>
      <c r="W71" s="8" t="s">
        <v>97</v>
      </c>
      <c r="X71" s="8"/>
    </row>
    <row r="72" spans="1:23" ht="12.75">
      <c r="A72" s="3"/>
      <c r="B72" s="3"/>
      <c r="C72" s="3"/>
      <c r="D72" s="3"/>
      <c r="E72" s="3"/>
      <c r="F72" s="3"/>
      <c r="M72" s="13">
        <f>(M69+M70/60+M71/3600)*15</f>
        <v>141.89684583333334</v>
      </c>
      <c r="N72" s="13">
        <f>N69+N70/60+N71/3600</f>
        <v>-8.658602777777778</v>
      </c>
      <c r="O72">
        <f>RADIANS(O71)</f>
        <v>2.476566218136764</v>
      </c>
      <c r="P72">
        <f>RADIANS(P71)</f>
        <v>-0.15111897043460878</v>
      </c>
      <c r="R72">
        <f>DEGREES(ASIN(Q71))</f>
        <v>-8.717156890805889</v>
      </c>
      <c r="S72">
        <f>RADIANS(R72)</f>
        <v>-0.15214308915747457</v>
      </c>
      <c r="T72">
        <f>SIN($D$367)*COS(S69)*$A$364+SIN(S69)*$A$367</f>
        <v>-3.7441837705747505E-05</v>
      </c>
      <c r="U72" s="15">
        <f>($A$388*U69-U70)*$V$12/COS(S72)</f>
        <v>-1.3043033271551105E-05</v>
      </c>
      <c r="V72" s="15">
        <f>($A$388*V69-V70)*$V$12</f>
        <v>-3.509627292048703E-05</v>
      </c>
      <c r="W72">
        <f>360-W69</f>
        <v>217.93650045540645</v>
      </c>
    </row>
    <row r="73" spans="1:24" ht="12.75">
      <c r="A73" s="3" t="s">
        <v>107</v>
      </c>
      <c r="B73" s="3" t="s">
        <v>107</v>
      </c>
      <c r="C73" s="3" t="s">
        <v>107</v>
      </c>
      <c r="D73" s="3" t="s">
        <v>107</v>
      </c>
      <c r="E73" s="3" t="s">
        <v>107</v>
      </c>
      <c r="F73" s="3" t="s">
        <v>107</v>
      </c>
      <c r="M73" s="3" t="s">
        <v>107</v>
      </c>
      <c r="N73" s="3" t="s">
        <v>142</v>
      </c>
      <c r="O73" s="3" t="s">
        <v>107</v>
      </c>
      <c r="P73" s="3" t="s">
        <v>107</v>
      </c>
      <c r="Q73" s="3" t="s">
        <v>107</v>
      </c>
      <c r="R73" s="3" t="s">
        <v>107</v>
      </c>
      <c r="S73" s="3" t="s">
        <v>107</v>
      </c>
      <c r="T73" s="3" t="s">
        <v>142</v>
      </c>
      <c r="U73" s="3" t="s">
        <v>107</v>
      </c>
      <c r="V73" s="3" t="s">
        <v>107</v>
      </c>
      <c r="W73" s="3" t="s">
        <v>107</v>
      </c>
      <c r="X73" s="3" t="s">
        <v>107</v>
      </c>
    </row>
    <row r="74" spans="1:24" ht="12.75">
      <c r="A74" s="3"/>
      <c r="B74" s="3"/>
      <c r="C74" s="3"/>
      <c r="D74" s="3"/>
      <c r="E74" s="3"/>
      <c r="F74" s="3"/>
      <c r="M74" s="16" t="s">
        <v>71</v>
      </c>
      <c r="N74" s="16" t="s">
        <v>106</v>
      </c>
      <c r="O74" s="16" t="s">
        <v>73</v>
      </c>
      <c r="P74" s="16" t="s">
        <v>74</v>
      </c>
      <c r="Q74" t="s">
        <v>81</v>
      </c>
      <c r="R74" t="s">
        <v>71</v>
      </c>
      <c r="S74" t="s">
        <v>85</v>
      </c>
      <c r="T74" t="s">
        <v>88</v>
      </c>
      <c r="U74" t="s">
        <v>92</v>
      </c>
      <c r="V74" t="s">
        <v>93</v>
      </c>
      <c r="W74" t="s">
        <v>71</v>
      </c>
      <c r="X74" t="s">
        <v>106</v>
      </c>
    </row>
    <row r="75" spans="1:24" ht="12.75">
      <c r="A75" s="30" t="s">
        <v>142</v>
      </c>
      <c r="B75" s="33">
        <v>41</v>
      </c>
      <c r="C75" s="34">
        <v>2.2</v>
      </c>
      <c r="D75" s="6" t="s">
        <v>132</v>
      </c>
      <c r="E75" s="36">
        <f>TRUNC(W78)</f>
        <v>126</v>
      </c>
      <c r="F75" s="37">
        <f>ABS(W78-E75)*60</f>
        <v>10.703272414316984</v>
      </c>
      <c r="M75" s="16">
        <v>15</v>
      </c>
      <c r="N75" s="16">
        <v>26</v>
      </c>
      <c r="O75" s="16">
        <v>0.12038</v>
      </c>
      <c r="P75" s="16">
        <v>-0.08944</v>
      </c>
      <c r="Q75">
        <f>COS(P78)*SIN(O78+$B$375)</f>
        <v>-0.7204383968856776</v>
      </c>
      <c r="R75">
        <f>DEGREES(ATAN2(Q76,Q75))+$C$375</f>
        <v>-126.1863810046612</v>
      </c>
      <c r="S75">
        <f>RADIANS(R76)</f>
        <v>4.080817487472219</v>
      </c>
      <c r="T75">
        <f>(COS($D$367)+SIN($D$367)*SIN(S75)*TAN(S78))*$A$364-COS(S75)*TAN(S78)*$A$367</f>
        <v>3.2726012246519016E-05</v>
      </c>
      <c r="U75">
        <f>COS(S75)*COS($D$388)*COS($D$367)+SIN(S75)*SIN($D$388)</f>
        <v>-0.6624813346282755</v>
      </c>
      <c r="V75">
        <f>COS($D$388)*COS($D$367)*(TAN($D$367)*COS(S78)-SIN(S75)*SIN(S78))+COS(S75)*SIN(S78)*SIN($D$388)</f>
        <v>-0.41471997008536027</v>
      </c>
      <c r="W75">
        <f>DEGREES(U78+T75+S75)</f>
        <v>233.82161212642805</v>
      </c>
      <c r="X75">
        <f>DEGREES(V78+T78+S78)</f>
        <v>26.670239529278508</v>
      </c>
    </row>
    <row r="76" spans="1:22" ht="12.75">
      <c r="A76" s="3" t="s">
        <v>104</v>
      </c>
      <c r="B76" s="3" t="s">
        <v>105</v>
      </c>
      <c r="C76" s="3" t="s">
        <v>102</v>
      </c>
      <c r="D76" s="3" t="s">
        <v>106</v>
      </c>
      <c r="E76" s="3" t="s">
        <v>105</v>
      </c>
      <c r="F76" s="3" t="s">
        <v>102</v>
      </c>
      <c r="M76" s="16">
        <v>34</v>
      </c>
      <c r="N76" s="16">
        <v>42</v>
      </c>
      <c r="O76" t="s">
        <v>77</v>
      </c>
      <c r="P76" t="s">
        <v>78</v>
      </c>
      <c r="Q76">
        <f>COS($F$375)*COS(P78)*COS(O78+$B$375)-SIN($F$375)*SIN(P78)</f>
        <v>-0.528674554687617</v>
      </c>
      <c r="R76">
        <f>R75-360*INT(R75/360)</f>
        <v>233.8136189953388</v>
      </c>
      <c r="U76">
        <f>COS(S75)*COS($D$383)*COS($D$367)+SIN(S75)*SIN($D$383)</f>
        <v>-0.9713568689748102</v>
      </c>
      <c r="V76">
        <f>COS($D$383)*COS($D$367)*(TAN($D$367)*COS(S78)-SIN(S75)*SIN(S78))+COS(S75)*SIN(S78)*SIN($D$383)</f>
        <v>0.13621789585701805</v>
      </c>
    </row>
    <row r="77" spans="1:24" ht="12.75">
      <c r="A77" s="9">
        <f>($C$370+E75+F75/60)-INT(($C$370+E75+F75/60)/360)*360</f>
        <v>33.08994760690132</v>
      </c>
      <c r="B77" s="22">
        <f>TRUNC(A77)</f>
        <v>33</v>
      </c>
      <c r="C77" s="23">
        <f>(A77-B77)*60</f>
        <v>5.396856414079139</v>
      </c>
      <c r="D77" s="38" t="str">
        <f>IF(X75&gt;=0,"N","S")</f>
        <v>N</v>
      </c>
      <c r="E77" s="22">
        <f>ABS(TRUNC(X75))</f>
        <v>26</v>
      </c>
      <c r="F77" s="23">
        <f>ABS(X75-TRUNC(X75))*60</f>
        <v>40.21437175671046</v>
      </c>
      <c r="M77" s="17">
        <v>41.268</v>
      </c>
      <c r="N77" s="17">
        <v>52.9</v>
      </c>
      <c r="O77" s="14">
        <f>M78+O75/3600*$A$361</f>
        <v>233.67239737013975</v>
      </c>
      <c r="P77" s="14">
        <f>N78+P75/3600*$A$361</f>
        <v>26.714362057126806</v>
      </c>
      <c r="Q77" s="14">
        <f>SIN($F$375)*COS(P78)*COS(O78+$B$375)+COS($F$375)*SIN(P78)</f>
        <v>0.44885602537856706</v>
      </c>
      <c r="R77" s="14" t="s">
        <v>106</v>
      </c>
      <c r="S77" s="8" t="s">
        <v>86</v>
      </c>
      <c r="T77" s="8" t="s">
        <v>89</v>
      </c>
      <c r="U77" s="8" t="s">
        <v>88</v>
      </c>
      <c r="V77" s="8" t="s">
        <v>89</v>
      </c>
      <c r="W77" s="8" t="s">
        <v>97</v>
      </c>
      <c r="X77" s="8"/>
    </row>
    <row r="78" spans="1:23" ht="12.75">
      <c r="A78" s="3"/>
      <c r="B78" s="3"/>
      <c r="C78" s="3"/>
      <c r="D78" s="3"/>
      <c r="E78" s="3"/>
      <c r="F78" s="3"/>
      <c r="M78" s="13">
        <f>(M75+M76/60+M77/3600)*15</f>
        <v>233.67195</v>
      </c>
      <c r="N78" s="13">
        <f>N75+N76/60+N77/3600</f>
        <v>26.714694444444444</v>
      </c>
      <c r="O78">
        <f>RADIANS(O77)</f>
        <v>4.078352705137477</v>
      </c>
      <c r="P78">
        <f>RADIANS(P77)</f>
        <v>0.46625357546670826</v>
      </c>
      <c r="R78">
        <f>DEGREES(ASIN(Q77))</f>
        <v>26.67031138673752</v>
      </c>
      <c r="S78">
        <f>RADIANS(R78)</f>
        <v>0.46548474623070446</v>
      </c>
      <c r="T78">
        <f>SIN($D$367)*COS(S75)*$A$364+SIN(S75)*$A$367</f>
        <v>1.296946252950783E-05</v>
      </c>
      <c r="U78" s="15">
        <f>($A$388*U75-U76)*$V$12/COS(S78)</f>
        <v>0.00010678044280338716</v>
      </c>
      <c r="V78" s="15">
        <f>($A$388*V75-V76)*$V$12</f>
        <v>-1.4223611781375634E-05</v>
      </c>
      <c r="W78">
        <f>360-W75</f>
        <v>126.17838787357195</v>
      </c>
    </row>
    <row r="79" spans="1:24" ht="12.75">
      <c r="A79" s="3" t="s">
        <v>107</v>
      </c>
      <c r="B79" s="3" t="s">
        <v>107</v>
      </c>
      <c r="C79" s="3" t="s">
        <v>107</v>
      </c>
      <c r="D79" s="3" t="s">
        <v>107</v>
      </c>
      <c r="E79" s="3" t="s">
        <v>107</v>
      </c>
      <c r="F79" s="3" t="s">
        <v>107</v>
      </c>
      <c r="M79" s="3" t="s">
        <v>107</v>
      </c>
      <c r="N79" s="3" t="s">
        <v>143</v>
      </c>
      <c r="O79" s="3" t="s">
        <v>107</v>
      </c>
      <c r="P79" s="3" t="s">
        <v>107</v>
      </c>
      <c r="Q79" s="3" t="s">
        <v>107</v>
      </c>
      <c r="R79" s="3" t="s">
        <v>107</v>
      </c>
      <c r="S79" s="3" t="s">
        <v>107</v>
      </c>
      <c r="T79" s="3" t="s">
        <v>143</v>
      </c>
      <c r="U79" s="3" t="s">
        <v>107</v>
      </c>
      <c r="V79" s="3" t="s">
        <v>107</v>
      </c>
      <c r="W79" s="3" t="s">
        <v>107</v>
      </c>
      <c r="X79" s="3" t="s">
        <v>107</v>
      </c>
    </row>
    <row r="80" spans="1:24" ht="12.75">
      <c r="A80" s="3"/>
      <c r="B80" s="3"/>
      <c r="C80" s="3"/>
      <c r="D80" s="3"/>
      <c r="E80" s="3"/>
      <c r="F80" s="3"/>
      <c r="M80" s="16" t="s">
        <v>71</v>
      </c>
      <c r="N80" s="16" t="s">
        <v>106</v>
      </c>
      <c r="O80" s="16" t="s">
        <v>73</v>
      </c>
      <c r="P80" s="16" t="s">
        <v>74</v>
      </c>
      <c r="Q80" t="s">
        <v>81</v>
      </c>
      <c r="R80" t="s">
        <v>71</v>
      </c>
      <c r="S80" t="s">
        <v>85</v>
      </c>
      <c r="T80" t="s">
        <v>88</v>
      </c>
      <c r="U80" t="s">
        <v>92</v>
      </c>
      <c r="V80" t="s">
        <v>93</v>
      </c>
      <c r="W80" t="s">
        <v>71</v>
      </c>
      <c r="X80" t="s">
        <v>106</v>
      </c>
    </row>
    <row r="81" spans="1:24" ht="12.75">
      <c r="A81" s="30" t="s">
        <v>143</v>
      </c>
      <c r="B81" s="33">
        <v>1</v>
      </c>
      <c r="C81" s="34">
        <v>2.1</v>
      </c>
      <c r="D81" s="6" t="s">
        <v>132</v>
      </c>
      <c r="E81" s="36">
        <f>TRUNC(W84)</f>
        <v>357</v>
      </c>
      <c r="F81" s="37">
        <f>ABS(W84-E81)*60</f>
        <v>43.73757474645913</v>
      </c>
      <c r="M81" s="16">
        <v>0</v>
      </c>
      <c r="N81" s="16">
        <v>29</v>
      </c>
      <c r="O81" s="16">
        <v>0.13568</v>
      </c>
      <c r="P81" s="16">
        <v>-0.16295</v>
      </c>
      <c r="Q81">
        <f>COS(P84)*SIN(O84+$B$375)</f>
        <v>0.03328832574173032</v>
      </c>
      <c r="R81">
        <f>DEGREES(ATAN2(Q82,Q81))+$C$375</f>
        <v>2.270417996544457</v>
      </c>
      <c r="S81">
        <f>RADIANS(R82)</f>
        <v>0.03962626943623401</v>
      </c>
      <c r="T81">
        <f>(COS($D$367)+SIN($D$367)*SIN(S81)*TAN(S84))*$A$364-COS(S81)*TAN(S84)*$A$367</f>
        <v>6.987362032590008E-05</v>
      </c>
      <c r="U81">
        <f>COS(S81)*COS($D$388)*COS($D$367)+SIN(S81)*SIN($D$388)</f>
        <v>-0.17026682815908017</v>
      </c>
      <c r="V81">
        <f>COS($D$388)*COS($D$367)*(TAN($D$367)*COS(S84)-SIN(S81)*SIN(S84))+COS(S81)*SIN(S84)*SIN($D$388)</f>
        <v>0.3990515804773675</v>
      </c>
      <c r="W81">
        <f>DEGREES(U84+T81+S81)</f>
        <v>2.2710404208923634</v>
      </c>
      <c r="X81">
        <f>DEGREES(V84+T84+S84)</f>
        <v>29.162149275406538</v>
      </c>
    </row>
    <row r="82" spans="1:22" ht="12.75">
      <c r="A82" s="3" t="s">
        <v>104</v>
      </c>
      <c r="B82" s="3" t="s">
        <v>105</v>
      </c>
      <c r="C82" s="3" t="s">
        <v>102</v>
      </c>
      <c r="D82" s="3" t="s">
        <v>106</v>
      </c>
      <c r="E82" s="3" t="s">
        <v>105</v>
      </c>
      <c r="F82" s="3" t="s">
        <v>102</v>
      </c>
      <c r="M82" s="16">
        <v>8</v>
      </c>
      <c r="N82" s="16">
        <v>5</v>
      </c>
      <c r="O82" t="s">
        <v>77</v>
      </c>
      <c r="P82" t="s">
        <v>78</v>
      </c>
      <c r="Q82">
        <f>COS($F$375)*COS(P84)*COS(O84+$B$375)-SIN($F$375)*SIN(P84)</f>
        <v>0.8725915410568226</v>
      </c>
      <c r="R82">
        <f>R81-360*INT(R81/360)</f>
        <v>2.270417996544457</v>
      </c>
      <c r="U82">
        <f>COS(S81)*COS($D$383)*COS($D$367)+SIN(S81)*SIN($D$383)</f>
        <v>0.5157417533347677</v>
      </c>
      <c r="V82">
        <f>COS($D$383)*COS($D$367)*(TAN($D$367)*COS(S84)-SIN(S81)*SIN(S84))+COS(S81)*SIN(S84)*SIN($D$383)</f>
        <v>0.5874851620283035</v>
      </c>
    </row>
    <row r="83" spans="1:24" ht="12.75">
      <c r="A83" s="9">
        <f>($C$370+E81+F81/60)-INT(($C$370+E81+F81/60)/360)*360</f>
        <v>264.64051931243694</v>
      </c>
      <c r="B83" s="22">
        <f>TRUNC(A83)</f>
        <v>264</v>
      </c>
      <c r="C83" s="23">
        <f>(A83-B83)*60</f>
        <v>38.43115874621617</v>
      </c>
      <c r="D83" s="38" t="str">
        <f>IF(X81&gt;=0,"N","S")</f>
        <v>N</v>
      </c>
      <c r="E83" s="22">
        <f>ABS(TRUNC(X81))</f>
        <v>29</v>
      </c>
      <c r="F83" s="23">
        <f>ABS(X81-TRUNC(X81))*60</f>
        <v>9.728956524392274</v>
      </c>
      <c r="M83" s="17">
        <v>23.259</v>
      </c>
      <c r="N83" s="17">
        <v>25.55</v>
      </c>
      <c r="O83" s="14">
        <f>M84+O81/3600*$A$361</f>
        <v>2.097416729777026</v>
      </c>
      <c r="P83" s="14">
        <f>N84+P81/3600*$A$361</f>
        <v>29.089824981836756</v>
      </c>
      <c r="Q83" s="14">
        <f>SIN($F$375)*COS(P84)*COS(O84+$B$375)+COS($F$375)*SIN(P84)</f>
        <v>0.4873149801159327</v>
      </c>
      <c r="R83" s="14" t="s">
        <v>106</v>
      </c>
      <c r="S83" s="8" t="s">
        <v>86</v>
      </c>
      <c r="T83" s="8" t="s">
        <v>89</v>
      </c>
      <c r="U83" s="8" t="s">
        <v>88</v>
      </c>
      <c r="V83" s="8" t="s">
        <v>89</v>
      </c>
      <c r="W83" s="8" t="s">
        <v>97</v>
      </c>
      <c r="X83" s="8"/>
    </row>
    <row r="84" spans="1:23" ht="12.75">
      <c r="A84" s="3"/>
      <c r="B84" s="3"/>
      <c r="C84" s="3"/>
      <c r="D84" s="3"/>
      <c r="E84" s="3"/>
      <c r="F84" s="3"/>
      <c r="M84" s="13">
        <f>(M81+M82/60+M83/3600)*15</f>
        <v>2.0969125</v>
      </c>
      <c r="N84" s="13">
        <f>N81+N82/60+N83/3600</f>
        <v>29.090430555555553</v>
      </c>
      <c r="O84">
        <f>RADIANS(O83)</f>
        <v>0.03660682772102129</v>
      </c>
      <c r="P84">
        <f>RADIANS(P83)</f>
        <v>0.507713224761951</v>
      </c>
      <c r="R84">
        <f>DEGREES(ASIN(Q83))</f>
        <v>29.164255261222262</v>
      </c>
      <c r="S84">
        <f>RADIANS(R84)</f>
        <v>0.5090122782004074</v>
      </c>
      <c r="T84">
        <f>SIN($D$367)*COS(S81)*$A$364+SIN(S81)*$A$367</f>
        <v>2.095682233710471E-05</v>
      </c>
      <c r="U84" s="15">
        <f>($A$388*U81-U82)*$V$12/COS(S84)</f>
        <v>-5.9010266110357375E-05</v>
      </c>
      <c r="V84" s="15">
        <f>($A$388*V81-V82)*$V$12</f>
        <v>-5.771320882182656E-05</v>
      </c>
      <c r="W84">
        <f>360-W81</f>
        <v>357.72895957910765</v>
      </c>
    </row>
    <row r="85" spans="1:24" ht="12.75">
      <c r="A85" s="3" t="s">
        <v>107</v>
      </c>
      <c r="B85" s="3" t="s">
        <v>107</v>
      </c>
      <c r="C85" s="3" t="s">
        <v>107</v>
      </c>
      <c r="D85" s="3" t="s">
        <v>107</v>
      </c>
      <c r="E85" s="3" t="s">
        <v>107</v>
      </c>
      <c r="F85" s="3" t="s">
        <v>107</v>
      </c>
      <c r="M85" s="3" t="s">
        <v>107</v>
      </c>
      <c r="N85" s="3" t="s">
        <v>144</v>
      </c>
      <c r="O85" s="3" t="s">
        <v>107</v>
      </c>
      <c r="P85" s="3" t="s">
        <v>107</v>
      </c>
      <c r="Q85" s="3" t="s">
        <v>107</v>
      </c>
      <c r="R85" s="3" t="s">
        <v>107</v>
      </c>
      <c r="S85" s="3" t="s">
        <v>107</v>
      </c>
      <c r="T85" s="3" t="s">
        <v>144</v>
      </c>
      <c r="U85" s="3" t="s">
        <v>107</v>
      </c>
      <c r="V85" s="3" t="s">
        <v>107</v>
      </c>
      <c r="W85" s="3" t="s">
        <v>107</v>
      </c>
      <c r="X85" s="3" t="s">
        <v>107</v>
      </c>
    </row>
    <row r="86" spans="1:24" ht="12.75">
      <c r="A86" s="3"/>
      <c r="B86" s="3"/>
      <c r="C86" s="3"/>
      <c r="D86" s="3"/>
      <c r="E86" s="3"/>
      <c r="F86" s="3"/>
      <c r="M86" s="16" t="s">
        <v>71</v>
      </c>
      <c r="N86" s="16" t="s">
        <v>106</v>
      </c>
      <c r="O86" s="16" t="s">
        <v>73</v>
      </c>
      <c r="P86" s="16" t="s">
        <v>74</v>
      </c>
      <c r="Q86" t="s">
        <v>81</v>
      </c>
      <c r="R86" t="s">
        <v>71</v>
      </c>
      <c r="S86" t="s">
        <v>85</v>
      </c>
      <c r="T86" t="s">
        <v>88</v>
      </c>
      <c r="U86" t="s">
        <v>92</v>
      </c>
      <c r="V86" t="s">
        <v>93</v>
      </c>
      <c r="W86" t="s">
        <v>71</v>
      </c>
      <c r="X86" t="s">
        <v>106</v>
      </c>
    </row>
    <row r="87" spans="1:24" ht="12.75">
      <c r="A87" s="30" t="s">
        <v>144</v>
      </c>
      <c r="B87" s="33">
        <v>51</v>
      </c>
      <c r="C87" s="34">
        <v>0.8</v>
      </c>
      <c r="D87" s="6" t="s">
        <v>132</v>
      </c>
      <c r="E87" s="36">
        <f>TRUNC(W90)</f>
        <v>62</v>
      </c>
      <c r="F87" s="37">
        <f>ABS(W90-E87)*60</f>
        <v>8.113048172673416</v>
      </c>
      <c r="M87" s="16">
        <v>19</v>
      </c>
      <c r="N87" s="16">
        <v>8</v>
      </c>
      <c r="O87" s="16">
        <v>0.53687</v>
      </c>
      <c r="P87" s="16">
        <v>0.38557</v>
      </c>
      <c r="Q87">
        <f>COS(P90)*SIN(O90+$B$375)</f>
        <v>-0.8741350295553093</v>
      </c>
      <c r="R87">
        <f>DEGREES(ATAN2(Q88,Q87))+$C$375</f>
        <v>-62.14106054365955</v>
      </c>
      <c r="S87">
        <f>RADIANS(R88)</f>
        <v>5.19861920001159</v>
      </c>
      <c r="T87">
        <f>(COS($D$367)+SIN($D$367)*SIN(S87)*TAN(S90))*$A$364-COS(S87)*TAN(S90)*$A$367</f>
        <v>5.062812785163629E-05</v>
      </c>
      <c r="U87">
        <f>COS(S87)*COS($D$388)*COS($D$367)+SIN(S87)*SIN($D$388)</f>
        <v>-0.9585239461585718</v>
      </c>
      <c r="V87">
        <f>COS($D$388)*COS($D$367)*(TAN($D$367)*COS(S90)-SIN(S87)*SIN(S90))+COS(S87)*SIN(S90)*SIN($D$388)</f>
        <v>-0.04767934467461005</v>
      </c>
      <c r="W87">
        <f>DEGREES(U90+T87+S87)</f>
        <v>297.86478253045544</v>
      </c>
      <c r="X87">
        <f>DEGREES(V90+T90+S90)</f>
        <v>8.90479647251146</v>
      </c>
    </row>
    <row r="88" spans="1:22" ht="12.75">
      <c r="A88" s="3" t="s">
        <v>104</v>
      </c>
      <c r="B88" s="3" t="s">
        <v>105</v>
      </c>
      <c r="C88" s="3" t="s">
        <v>102</v>
      </c>
      <c r="D88" s="3" t="s">
        <v>106</v>
      </c>
      <c r="E88" s="3" t="s">
        <v>105</v>
      </c>
      <c r="F88" s="3" t="s">
        <v>102</v>
      </c>
      <c r="M88" s="16">
        <v>50</v>
      </c>
      <c r="N88" s="16">
        <v>52</v>
      </c>
      <c r="O88" t="s">
        <v>77</v>
      </c>
      <c r="P88" t="s">
        <v>78</v>
      </c>
      <c r="Q88">
        <f>COS($F$375)*COS(P90)*COS(O90+$B$375)-SIN($F$375)*SIN(P90)</f>
        <v>0.460357250395435</v>
      </c>
      <c r="R88">
        <f>R87-360*INT(R87/360)</f>
        <v>297.85893945634047</v>
      </c>
      <c r="U88">
        <f>COS(S87)*COS($D$383)*COS($D$367)+SIN(S87)*SIN($D$383)</f>
        <v>-0.5265903832908799</v>
      </c>
      <c r="V88">
        <f>COS($D$383)*COS($D$367)*(TAN($D$367)*COS(S90)-SIN(S87)*SIN(S90))+COS(S87)*SIN(S90)*SIN($D$383)</f>
        <v>0.33414400130994</v>
      </c>
    </row>
    <row r="89" spans="1:24" ht="12.75">
      <c r="A89" s="9">
        <f>($C$370+E87+F87/60)-INT(($C$370+E87+F87/60)/360)*360</f>
        <v>329.0467772028739</v>
      </c>
      <c r="B89" s="22">
        <f>TRUNC(A89)</f>
        <v>329</v>
      </c>
      <c r="C89" s="23">
        <f>(A89-B89)*60</f>
        <v>2.806632172433865</v>
      </c>
      <c r="D89" s="38" t="str">
        <f>IF(X87&gt;=0,"N","S")</f>
        <v>N</v>
      </c>
      <c r="E89" s="22">
        <f>ABS(TRUNC(X87))</f>
        <v>8</v>
      </c>
      <c r="F89" s="23">
        <f>ABS(X87-TRUNC(X87))*60</f>
        <v>54.28778835068762</v>
      </c>
      <c r="M89" s="17">
        <v>46.999</v>
      </c>
      <c r="N89" s="17">
        <v>5.96</v>
      </c>
      <c r="O89" s="14">
        <f>M90+O87/3600*$A$361</f>
        <v>297.69782434532516</v>
      </c>
      <c r="P89" s="14">
        <f>N90+P87/3600*$A$361</f>
        <v>8.869755122245275</v>
      </c>
      <c r="Q89" s="14">
        <f>SIN($F$375)*COS(P90)*COS(O90+$B$375)+COS($F$375)*SIN(P90)</f>
        <v>0.15478744171506015</v>
      </c>
      <c r="R89" s="14" t="s">
        <v>106</v>
      </c>
      <c r="S89" s="8" t="s">
        <v>86</v>
      </c>
      <c r="T89" s="8" t="s">
        <v>89</v>
      </c>
      <c r="U89" s="8" t="s">
        <v>88</v>
      </c>
      <c r="V89" s="8" t="s">
        <v>89</v>
      </c>
      <c r="W89" s="8" t="s">
        <v>97</v>
      </c>
      <c r="X89" s="8"/>
    </row>
    <row r="90" spans="1:23" ht="12.75">
      <c r="A90" s="3"/>
      <c r="B90" s="3"/>
      <c r="C90" s="3"/>
      <c r="D90" s="3"/>
      <c r="E90" s="3"/>
      <c r="F90" s="3"/>
      <c r="M90" s="13">
        <f>(M87+M88/60+M89/3600)*15</f>
        <v>297.6958291666666</v>
      </c>
      <c r="N90" s="13">
        <f>N87+N88/60+N89/3600</f>
        <v>8.868322222222222</v>
      </c>
      <c r="O90">
        <f>RADIANS(O89)</f>
        <v>5.195807210849656</v>
      </c>
      <c r="P90">
        <f>RADIANS(P89)</f>
        <v>0.15480643072881217</v>
      </c>
      <c r="R90">
        <f>DEGREES(ASIN(Q89))</f>
        <v>8.904468781800823</v>
      </c>
      <c r="S90">
        <f>RADIANS(R90)</f>
        <v>0.1554122983834729</v>
      </c>
      <c r="T90">
        <f>SIN($D$367)*COS(S87)*$A$364+SIN(S87)*$A$367</f>
        <v>3.900066211987975E-05</v>
      </c>
      <c r="U90" s="15">
        <f>($A$388*U87-U88)*$V$12/COS(S90)</f>
        <v>5.1352753892334206E-05</v>
      </c>
      <c r="V90" s="15">
        <f>($A$388*V87-V88)*$V$12</f>
        <v>-3.328138029106149E-05</v>
      </c>
      <c r="W90">
        <f>360-W87</f>
        <v>62.13521746954456</v>
      </c>
    </row>
    <row r="91" spans="1:24" ht="12.75">
      <c r="A91" s="3" t="s">
        <v>107</v>
      </c>
      <c r="B91" s="3" t="s">
        <v>107</v>
      </c>
      <c r="C91" s="3" t="s">
        <v>107</v>
      </c>
      <c r="D91" s="3" t="s">
        <v>107</v>
      </c>
      <c r="E91" s="3" t="s">
        <v>107</v>
      </c>
      <c r="F91" s="3" t="s">
        <v>107</v>
      </c>
      <c r="M91" s="3" t="s">
        <v>107</v>
      </c>
      <c r="N91" s="3" t="s">
        <v>145</v>
      </c>
      <c r="O91" s="3" t="s">
        <v>107</v>
      </c>
      <c r="P91" s="3" t="s">
        <v>107</v>
      </c>
      <c r="Q91" s="3" t="s">
        <v>107</v>
      </c>
      <c r="R91" s="3" t="s">
        <v>107</v>
      </c>
      <c r="S91" s="3" t="s">
        <v>107</v>
      </c>
      <c r="T91" s="3" t="s">
        <v>145</v>
      </c>
      <c r="U91" s="3" t="s">
        <v>107</v>
      </c>
      <c r="V91" s="3" t="s">
        <v>107</v>
      </c>
      <c r="W91" s="3" t="s">
        <v>107</v>
      </c>
      <c r="X91" s="3" t="s">
        <v>107</v>
      </c>
    </row>
    <row r="92" spans="1:24" ht="12.75">
      <c r="A92" s="3"/>
      <c r="B92" s="3"/>
      <c r="C92" s="3"/>
      <c r="D92" s="3"/>
      <c r="E92" s="3"/>
      <c r="F92" s="3"/>
      <c r="M92" s="16" t="s">
        <v>71</v>
      </c>
      <c r="N92" s="16" t="s">
        <v>106</v>
      </c>
      <c r="O92" s="16" t="s">
        <v>73</v>
      </c>
      <c r="P92" s="16" t="s">
        <v>74</v>
      </c>
      <c r="Q92" t="s">
        <v>81</v>
      </c>
      <c r="R92" t="s">
        <v>71</v>
      </c>
      <c r="S92" t="s">
        <v>85</v>
      </c>
      <c r="T92" t="s">
        <v>88</v>
      </c>
      <c r="U92" t="s">
        <v>92</v>
      </c>
      <c r="V92" t="s">
        <v>93</v>
      </c>
      <c r="W92" t="s">
        <v>71</v>
      </c>
      <c r="X92" t="s">
        <v>106</v>
      </c>
    </row>
    <row r="93" spans="1:24" ht="12.75">
      <c r="A93" s="30" t="s">
        <v>145</v>
      </c>
      <c r="B93" s="33">
        <v>2</v>
      </c>
      <c r="C93" s="34">
        <v>2.4</v>
      </c>
      <c r="D93" s="6" t="s">
        <v>132</v>
      </c>
      <c r="E93" s="36">
        <f>TRUNC(W96)</f>
        <v>353</v>
      </c>
      <c r="F93" s="37">
        <f>ABS(W96-E93)*60</f>
        <v>16.070543686859082</v>
      </c>
      <c r="M93" s="16">
        <v>0</v>
      </c>
      <c r="N93" s="16">
        <v>-42</v>
      </c>
      <c r="O93" s="16">
        <v>0.23275</v>
      </c>
      <c r="P93" s="16">
        <v>-0.35362</v>
      </c>
      <c r="Q93">
        <f>COS(P96)*SIN(O96+$B$375)</f>
        <v>0.08573998260498798</v>
      </c>
      <c r="R93">
        <f>DEGREES(ATAN2(Q94,Q93))+$C$375</f>
        <v>6.735485633118158</v>
      </c>
      <c r="S93">
        <f>RADIANS(R94)</f>
        <v>0.11755640101868667</v>
      </c>
      <c r="T93">
        <f>(COS($D$367)+SIN($D$367)*SIN(S93)*TAN(S96))*$A$364-COS(S93)*TAN(S96)*$A$367</f>
        <v>1.9808131921858038E-05</v>
      </c>
      <c r="U93">
        <f>COS(S93)*COS($D$388)*COS($D$367)+SIN(S93)*SIN($D$388)</f>
        <v>-0.0933605079024768</v>
      </c>
      <c r="V93">
        <f>COS($D$388)*COS($D$367)*(TAN($D$367)*COS(S96)-SIN(S93)*SIN(S96))+COS(S93)*SIN(S96)*SIN($D$388)</f>
        <v>-0.7335200062210636</v>
      </c>
      <c r="W93">
        <f>DEGREES(U96+T93+S93)</f>
        <v>6.73215760521901</v>
      </c>
      <c r="X93">
        <f>DEGREES(V96+T96+S96)</f>
        <v>-42.23019826913721</v>
      </c>
    </row>
    <row r="94" spans="1:22" ht="12.75">
      <c r="A94" s="3" t="s">
        <v>104</v>
      </c>
      <c r="B94" s="3" t="s">
        <v>105</v>
      </c>
      <c r="C94" s="3" t="s">
        <v>102</v>
      </c>
      <c r="D94" s="3" t="s">
        <v>106</v>
      </c>
      <c r="E94" s="3" t="s">
        <v>105</v>
      </c>
      <c r="F94" s="3" t="s">
        <v>102</v>
      </c>
      <c r="M94" s="16">
        <v>26</v>
      </c>
      <c r="N94" s="16">
        <v>-18</v>
      </c>
      <c r="O94" t="s">
        <v>77</v>
      </c>
      <c r="P94" t="s">
        <v>78</v>
      </c>
      <c r="Q94">
        <f>COS($F$375)*COS(P96)*COS(O96+$B$375)-SIN($F$375)*SIN(P96)</f>
        <v>0.7354328268446989</v>
      </c>
      <c r="R94">
        <f>R93-360*INT(R93/360)</f>
        <v>6.735485633118158</v>
      </c>
      <c r="U94">
        <f>COS(S93)*COS($D$383)*COS($D$367)+SIN(S93)*SIN($D$383)</f>
        <v>0.5788576821116748</v>
      </c>
      <c r="V94">
        <f>COS($D$383)*COS($D$367)*(TAN($D$367)*COS(S96)-SIN(S93)*SIN(S96))+COS(S93)*SIN(S96)*SIN($D$383)</f>
        <v>-0.37492584960690806</v>
      </c>
    </row>
    <row r="95" spans="1:24" ht="12.75">
      <c r="A95" s="9">
        <f>($C$370+E93+F93/60)-INT(($C$370+E93+F93/60)/360)*360</f>
        <v>260.17940212811027</v>
      </c>
      <c r="B95" s="22">
        <f>TRUNC(A95)</f>
        <v>260</v>
      </c>
      <c r="C95" s="23">
        <f>(A95-B95)*60</f>
        <v>10.76412768661612</v>
      </c>
      <c r="D95" s="38" t="str">
        <f>IF(X93&gt;=0,"N","S")</f>
        <v>S</v>
      </c>
      <c r="E95" s="22">
        <f>ABS(TRUNC(X93))</f>
        <v>42</v>
      </c>
      <c r="F95" s="23">
        <f>ABS(X93-TRUNC(X93))*60</f>
        <v>13.811896148232705</v>
      </c>
      <c r="M95" s="17">
        <v>17.051</v>
      </c>
      <c r="N95" s="17">
        <v>-21.53</v>
      </c>
      <c r="O95" s="14">
        <f>M96+O93/3600*$A$361</f>
        <v>6.571910805920323</v>
      </c>
      <c r="P95" s="14">
        <f>N96+P93/3600*$A$361</f>
        <v>-42.30729471927719</v>
      </c>
      <c r="Q95" s="14">
        <f>SIN($F$375)*COS(P96)*COS(O96+$B$375)+COS($F$375)*SIN(P96)</f>
        <v>-0.6721511828317431</v>
      </c>
      <c r="R95" s="14" t="s">
        <v>106</v>
      </c>
      <c r="S95" s="8" t="s">
        <v>86</v>
      </c>
      <c r="T95" s="8" t="s">
        <v>89</v>
      </c>
      <c r="U95" s="8" t="s">
        <v>88</v>
      </c>
      <c r="V95" s="8" t="s">
        <v>89</v>
      </c>
      <c r="W95" s="8" t="s">
        <v>97</v>
      </c>
      <c r="X95" s="8"/>
    </row>
    <row r="96" spans="1:23" ht="12.75">
      <c r="A96" s="3"/>
      <c r="B96" s="3"/>
      <c r="C96" s="3"/>
      <c r="D96" s="3"/>
      <c r="E96" s="3"/>
      <c r="F96" s="3"/>
      <c r="M96" s="13">
        <f>(M93+M94/60+M95/3600)*15</f>
        <v>6.571045833333334</v>
      </c>
      <c r="N96" s="13">
        <f>N93+N94/60+N95/3600</f>
        <v>-42.30598055555555</v>
      </c>
      <c r="O96">
        <f>RADIANS(O95)</f>
        <v>0.1147014817107037</v>
      </c>
      <c r="P96">
        <f>RADIANS(P95)</f>
        <v>-0.738401590462997</v>
      </c>
      <c r="R96">
        <f>DEGREES(ASIN(Q95))</f>
        <v>-42.23331201927071</v>
      </c>
      <c r="S96">
        <f>RADIANS(R96)</f>
        <v>-0.7371103487583688</v>
      </c>
      <c r="T96">
        <f>SIN($D$367)*COS(S93)*$A$364+SIN(S93)*$A$367</f>
        <v>1.8308073068069978E-05</v>
      </c>
      <c r="U96" s="15">
        <f>($A$388*U93-U94)*$V$12/COS(S96)</f>
        <v>-7.789317636021903E-05</v>
      </c>
      <c r="V96" s="15">
        <f>($A$388*V93-V94)*$V$12</f>
        <v>3.603711884599111E-05</v>
      </c>
      <c r="W96">
        <f>360-W93</f>
        <v>353.267842394781</v>
      </c>
    </row>
    <row r="97" spans="1:24" ht="12.75">
      <c r="A97" s="3" t="s">
        <v>107</v>
      </c>
      <c r="B97" s="3" t="s">
        <v>107</v>
      </c>
      <c r="C97" s="3" t="s">
        <v>107</v>
      </c>
      <c r="D97" s="3" t="s">
        <v>107</v>
      </c>
      <c r="E97" s="3" t="s">
        <v>107</v>
      </c>
      <c r="F97" s="3" t="s">
        <v>107</v>
      </c>
      <c r="M97" s="3" t="s">
        <v>107</v>
      </c>
      <c r="N97" s="3" t="s">
        <v>146</v>
      </c>
      <c r="O97" s="3" t="s">
        <v>107</v>
      </c>
      <c r="P97" s="3" t="s">
        <v>107</v>
      </c>
      <c r="Q97" s="3" t="s">
        <v>107</v>
      </c>
      <c r="R97" s="3" t="s">
        <v>107</v>
      </c>
      <c r="S97" s="3" t="s">
        <v>107</v>
      </c>
      <c r="T97" s="3" t="s">
        <v>146</v>
      </c>
      <c r="U97" s="3" t="s">
        <v>107</v>
      </c>
      <c r="V97" s="3" t="s">
        <v>107</v>
      </c>
      <c r="W97" s="3" t="s">
        <v>107</v>
      </c>
      <c r="X97" s="3" t="s">
        <v>107</v>
      </c>
    </row>
    <row r="98" spans="1:24" ht="12.75">
      <c r="A98" s="3"/>
      <c r="B98" s="3"/>
      <c r="C98" s="3"/>
      <c r="D98" s="3"/>
      <c r="E98" s="3"/>
      <c r="F98" s="3"/>
      <c r="M98" s="16" t="s">
        <v>71</v>
      </c>
      <c r="N98" s="16" t="s">
        <v>106</v>
      </c>
      <c r="O98" s="16" t="s">
        <v>73</v>
      </c>
      <c r="P98" s="16" t="s">
        <v>74</v>
      </c>
      <c r="Q98" t="s">
        <v>81</v>
      </c>
      <c r="R98" t="s">
        <v>71</v>
      </c>
      <c r="S98" t="s">
        <v>85</v>
      </c>
      <c r="T98" t="s">
        <v>88</v>
      </c>
      <c r="U98" t="s">
        <v>92</v>
      </c>
      <c r="V98" t="s">
        <v>93</v>
      </c>
      <c r="W98" t="s">
        <v>71</v>
      </c>
      <c r="X98" t="s">
        <v>106</v>
      </c>
    </row>
    <row r="99" spans="1:24" ht="12.75">
      <c r="A99" s="30" t="s">
        <v>146</v>
      </c>
      <c r="B99" s="33">
        <v>42</v>
      </c>
      <c r="C99" s="34">
        <v>1</v>
      </c>
      <c r="D99" s="6" t="s">
        <v>132</v>
      </c>
      <c r="E99" s="36">
        <f>TRUNC(W102)</f>
        <v>112</v>
      </c>
      <c r="F99" s="37">
        <f>ABS(W102-E99)*60</f>
        <v>25.950893328769098</v>
      </c>
      <c r="M99" s="16">
        <v>16</v>
      </c>
      <c r="N99" s="16">
        <v>-26</v>
      </c>
      <c r="O99" s="16">
        <v>-0.01016</v>
      </c>
      <c r="P99" s="16">
        <v>-0.02321</v>
      </c>
      <c r="Q99">
        <f>COS(P102)*SIN(O102+$B$375)</f>
        <v>-0.8269258149074399</v>
      </c>
      <c r="R99">
        <f>DEGREES(ATAN2(Q100,Q99))+$C$375</f>
        <v>-112.44247915724125</v>
      </c>
      <c r="S99">
        <f>RADIANS(R100)</f>
        <v>4.320693826780627</v>
      </c>
      <c r="T99">
        <f>(COS($D$367)+SIN($D$367)*SIN(S99)*TAN(S102))*$A$364-COS(S99)*TAN(S102)*$A$367</f>
        <v>6.772758538149337E-05</v>
      </c>
      <c r="U99">
        <f>COS(S99)*COS($D$388)*COS($D$367)+SIN(S99)*SIN($D$388)</f>
        <v>-0.8201741933496752</v>
      </c>
      <c r="V99">
        <f>COS($D$388)*COS($D$367)*(TAN($D$367)*COS(S102)-SIN(S99)*SIN(S102))+COS(S99)*SIN(S102)*SIN($D$388)</f>
        <v>0.17059934500545695</v>
      </c>
      <c r="W99">
        <f>DEGREES(U102+T99+S99)</f>
        <v>247.56748511118718</v>
      </c>
      <c r="X99">
        <f>DEGREES(V102+T102+S102)</f>
        <v>-26.460163300277525</v>
      </c>
    </row>
    <row r="100" spans="1:22" ht="12.75">
      <c r="A100" s="3" t="s">
        <v>104</v>
      </c>
      <c r="B100" s="3" t="s">
        <v>105</v>
      </c>
      <c r="C100" s="3" t="s">
        <v>102</v>
      </c>
      <c r="D100" s="3" t="s">
        <v>106</v>
      </c>
      <c r="E100" s="3" t="s">
        <v>105</v>
      </c>
      <c r="F100" s="3" t="s">
        <v>102</v>
      </c>
      <c r="M100" s="16">
        <v>29</v>
      </c>
      <c r="N100" s="16">
        <v>-25</v>
      </c>
      <c r="O100" t="s">
        <v>77</v>
      </c>
      <c r="P100" t="s">
        <v>78</v>
      </c>
      <c r="Q100">
        <f>COS($F$375)*COS(P102)*COS(O102+$B$375)-SIN($F$375)*SIN(P102)</f>
        <v>-0.3430006607396242</v>
      </c>
      <c r="R100">
        <f>R99-360*INT(R99/360)</f>
        <v>247.55752084275875</v>
      </c>
      <c r="U100">
        <f>COS(S99)*COS($D$383)*COS($D$367)+SIN(S99)*SIN($D$383)</f>
        <v>-0.9703550854915797</v>
      </c>
      <c r="V100">
        <f>COS($D$383)*COS($D$367)*(TAN($D$367)*COS(S102)-SIN(S99)*SIN(S102))+COS(S99)*SIN(S102)*SIN($D$383)</f>
        <v>0.13322560710829806</v>
      </c>
    </row>
    <row r="101" spans="1:24" ht="12.75">
      <c r="A101" s="9">
        <f>($C$370+E99+F99/60)-INT(($C$370+E99+F99/60)/360)*360</f>
        <v>19.34407462214216</v>
      </c>
      <c r="B101" s="22">
        <f>TRUNC(A101)</f>
        <v>19</v>
      </c>
      <c r="C101" s="23">
        <f>(A101-B101)*60</f>
        <v>20.644477328529547</v>
      </c>
      <c r="D101" s="38" t="str">
        <f>IF(X99&gt;=0,"N","S")</f>
        <v>S</v>
      </c>
      <c r="E101" s="22">
        <f>ABS(TRUNC(X99))</f>
        <v>26</v>
      </c>
      <c r="F101" s="23">
        <f>ABS(X99-TRUNC(X99))*60</f>
        <v>27.60979801665151</v>
      </c>
      <c r="M101" s="17">
        <v>24.461</v>
      </c>
      <c r="N101" s="17">
        <v>-55.21</v>
      </c>
      <c r="O101" s="14">
        <f>M102+O99/3600*$A$361</f>
        <v>247.35188307556112</v>
      </c>
      <c r="P101" s="14">
        <f>N102+P99/3600*$A$361</f>
        <v>-26.432089033475926</v>
      </c>
      <c r="Q101" s="14">
        <f>SIN($F$375)*COS(P102)*COS(O102+$B$375)+COS($F$375)*SIN(P102)</f>
        <v>-0.44558303757195206</v>
      </c>
      <c r="R101" s="14" t="s">
        <v>106</v>
      </c>
      <c r="S101" s="8" t="s">
        <v>86</v>
      </c>
      <c r="T101" s="8" t="s">
        <v>89</v>
      </c>
      <c r="U101" s="8" t="s">
        <v>88</v>
      </c>
      <c r="V101" s="8" t="s">
        <v>89</v>
      </c>
      <c r="W101" s="8" t="s">
        <v>97</v>
      </c>
      <c r="X101" s="8"/>
    </row>
    <row r="102" spans="1:23" ht="12.75">
      <c r="A102" s="3"/>
      <c r="B102" s="3"/>
      <c r="C102" s="3"/>
      <c r="D102" s="3"/>
      <c r="E102" s="3"/>
      <c r="F102" s="3"/>
      <c r="M102" s="13">
        <f>(M99+M100/60+M101/3600)*15</f>
        <v>247.35192083333334</v>
      </c>
      <c r="N102" s="13">
        <f>N99+N100/60+N101/3600</f>
        <v>-26.43200277777778</v>
      </c>
      <c r="O102">
        <f>RADIANS(O101)</f>
        <v>4.31710477067658</v>
      </c>
      <c r="P102">
        <f>RADIANS(P101)</f>
        <v>-0.4613269818144406</v>
      </c>
      <c r="R102">
        <f>DEGREES(ASIN(Q101))</f>
        <v>-26.46064737495941</v>
      </c>
      <c r="S102">
        <f>RADIANS(R102)</f>
        <v>-0.4618254189022363</v>
      </c>
      <c r="T102">
        <f>SIN($D$367)*COS(S99)*$A$364+SIN(S99)*$A$367</f>
        <v>2.140352778242226E-05</v>
      </c>
      <c r="U102" s="15">
        <f>($A$388*U99-U100)*$V$12/COS(S102)</f>
        <v>0.00010618170624753447</v>
      </c>
      <c r="V102" s="15">
        <f>($A$388*V99-V100)*$V$12</f>
        <v>-1.295483075801086E-05</v>
      </c>
      <c r="W102">
        <f>360-W99</f>
        <v>112.43251488881282</v>
      </c>
    </row>
    <row r="103" spans="1:24" ht="12.75">
      <c r="A103" s="3" t="s">
        <v>107</v>
      </c>
      <c r="B103" s="3" t="s">
        <v>107</v>
      </c>
      <c r="C103" s="3" t="s">
        <v>107</v>
      </c>
      <c r="D103" s="3" t="s">
        <v>107</v>
      </c>
      <c r="E103" s="3" t="s">
        <v>107</v>
      </c>
      <c r="F103" s="3" t="s">
        <v>107</v>
      </c>
      <c r="M103" s="3" t="s">
        <v>107</v>
      </c>
      <c r="N103" s="3" t="s">
        <v>147</v>
      </c>
      <c r="O103" s="3" t="s">
        <v>107</v>
      </c>
      <c r="P103" s="3" t="s">
        <v>107</v>
      </c>
      <c r="Q103" s="3" t="s">
        <v>107</v>
      </c>
      <c r="R103" s="3" t="s">
        <v>107</v>
      </c>
      <c r="S103" s="3" t="s">
        <v>107</v>
      </c>
      <c r="T103" s="3" t="s">
        <v>147</v>
      </c>
      <c r="U103" s="3" t="s">
        <v>107</v>
      </c>
      <c r="V103" s="3" t="s">
        <v>107</v>
      </c>
      <c r="W103" s="3" t="s">
        <v>107</v>
      </c>
      <c r="X103" s="3" t="s">
        <v>107</v>
      </c>
    </row>
    <row r="104" spans="1:24" ht="12.75">
      <c r="A104" s="3"/>
      <c r="B104" s="3"/>
      <c r="C104" s="3"/>
      <c r="D104" s="3"/>
      <c r="E104" s="3"/>
      <c r="F104" s="3"/>
      <c r="M104" s="16" t="s">
        <v>71</v>
      </c>
      <c r="N104" s="16" t="s">
        <v>106</v>
      </c>
      <c r="O104" s="16" t="s">
        <v>73</v>
      </c>
      <c r="P104" s="16" t="s">
        <v>74</v>
      </c>
      <c r="Q104" t="s">
        <v>81</v>
      </c>
      <c r="R104" t="s">
        <v>71</v>
      </c>
      <c r="S104" t="s">
        <v>85</v>
      </c>
      <c r="T104" t="s">
        <v>88</v>
      </c>
      <c r="U104" t="s">
        <v>92</v>
      </c>
      <c r="V104" t="s">
        <v>93</v>
      </c>
      <c r="W104" t="s">
        <v>71</v>
      </c>
      <c r="X104" t="s">
        <v>106</v>
      </c>
    </row>
    <row r="105" spans="1:24" ht="12.75">
      <c r="A105" s="30" t="s">
        <v>147</v>
      </c>
      <c r="B105" s="33">
        <v>37</v>
      </c>
      <c r="C105" s="34">
        <v>0</v>
      </c>
      <c r="D105" s="6" t="s">
        <v>132</v>
      </c>
      <c r="E105" s="36">
        <f>TRUNC(W108)</f>
        <v>145</v>
      </c>
      <c r="F105" s="37">
        <f>ABS(W108-E105)*60</f>
        <v>55.46372203767987</v>
      </c>
      <c r="M105" s="16">
        <v>14</v>
      </c>
      <c r="N105" s="16">
        <v>19</v>
      </c>
      <c r="O105" s="16">
        <v>-1.09343</v>
      </c>
      <c r="P105" s="16">
        <v>-1.99943</v>
      </c>
      <c r="Q105">
        <f>COS(P108)*SIN(O108+$B$375)</f>
        <v>-0.5281270563522391</v>
      </c>
      <c r="R105">
        <f>DEGREES(ATAN2(Q106,Q105))+$C$375</f>
        <v>-145.931798919377</v>
      </c>
      <c r="S105">
        <f>RADIANS(R106)</f>
        <v>3.7361949326781545</v>
      </c>
      <c r="T105">
        <f>(COS($D$367)+SIN($D$367)*SIN(S105)*TAN(S108))*$A$364-COS(S105)*TAN(S108)*$A$367</f>
        <v>3.7735601393596384E-05</v>
      </c>
      <c r="U105">
        <f>COS(S105)*COS($D$388)*COS($D$367)+SIN(S105)*SIN($D$388)</f>
        <v>-0.3723175188483702</v>
      </c>
      <c r="V105">
        <f>COS($D$388)*COS($D$367)*(TAN($D$367)*COS(S108)-SIN(S105)*SIN(S108))+COS(S105)*SIN(S108)*SIN($D$388)</f>
        <v>-0.38804855373632785</v>
      </c>
      <c r="W105">
        <f>DEGREES(U108+T105+S105)</f>
        <v>214.07560463270534</v>
      </c>
      <c r="X105">
        <f>DEGREES(V108+T108+S108)</f>
        <v>19.112852674835324</v>
      </c>
    </row>
    <row r="106" spans="1:22" ht="12.75">
      <c r="A106" s="3" t="s">
        <v>104</v>
      </c>
      <c r="B106" s="3" t="s">
        <v>105</v>
      </c>
      <c r="C106" s="3" t="s">
        <v>102</v>
      </c>
      <c r="D106" s="3" t="s">
        <v>106</v>
      </c>
      <c r="E106" s="3" t="s">
        <v>105</v>
      </c>
      <c r="F106" s="3" t="s">
        <v>102</v>
      </c>
      <c r="M106" s="16">
        <v>15</v>
      </c>
      <c r="N106" s="16">
        <v>10</v>
      </c>
      <c r="O106" t="s">
        <v>77</v>
      </c>
      <c r="P106" t="s">
        <v>78</v>
      </c>
      <c r="Q106">
        <f>COS($F$375)*COS(P108)*COS(O108+$B$375)-SIN($F$375)*SIN(P108)</f>
        <v>-0.7834969688939329</v>
      </c>
      <c r="R106">
        <f>R105-360*INT(R105/360)</f>
        <v>214.068201080623</v>
      </c>
      <c r="U106">
        <f>COS(S105)*COS($D$383)*COS($D$367)+SIN(S105)*SIN($D$383)</f>
        <v>-0.8761192807989031</v>
      </c>
      <c r="V106">
        <f>COS($D$383)*COS($D$367)*(TAN($D$367)*COS(S108)-SIN(S105)*SIN(S108))+COS(S105)*SIN(S108)*SIN($D$383)</f>
        <v>0.055361024729880054</v>
      </c>
    </row>
    <row r="107" spans="1:24" ht="12.75">
      <c r="A107" s="9">
        <f>($C$370+E105+F105/60)-INT(($C$370+E105+F105/60)/360)*360</f>
        <v>52.835955100624005</v>
      </c>
      <c r="B107" s="22">
        <f>TRUNC(A107)</f>
        <v>52</v>
      </c>
      <c r="C107" s="23">
        <f>(A107-B107)*60</f>
        <v>50.15730603744032</v>
      </c>
      <c r="D107" s="38" t="str">
        <f>IF(X105&gt;=0,"N","S")</f>
        <v>N</v>
      </c>
      <c r="E107" s="22">
        <f>ABS(TRUNC(X105))</f>
        <v>19</v>
      </c>
      <c r="F107" s="23">
        <f>ABS(X105-TRUNC(X105))*60</f>
        <v>6.771160490119428</v>
      </c>
      <c r="M107" s="17">
        <v>39.672</v>
      </c>
      <c r="N107" s="17">
        <v>56.68</v>
      </c>
      <c r="O107" s="14">
        <f>M108+O105/3600*$A$361</f>
        <v>213.91123646841766</v>
      </c>
      <c r="P107" s="14">
        <f>N108+P105/3600*$A$361</f>
        <v>19.174980597084883</v>
      </c>
      <c r="Q107" s="14">
        <f>SIN($F$375)*COS(P108)*COS(O108+$B$375)+COS($F$375)*SIN(P108)</f>
        <v>0.3274359663853963</v>
      </c>
      <c r="R107" s="14" t="s">
        <v>106</v>
      </c>
      <c r="S107" s="8" t="s">
        <v>86</v>
      </c>
      <c r="T107" s="8" t="s">
        <v>89</v>
      </c>
      <c r="U107" s="8" t="s">
        <v>88</v>
      </c>
      <c r="V107" s="8" t="s">
        <v>89</v>
      </c>
      <c r="W107" s="8" t="s">
        <v>97</v>
      </c>
      <c r="X107" s="8"/>
    </row>
    <row r="108" spans="1:23" ht="12.75">
      <c r="A108" s="3"/>
      <c r="B108" s="3"/>
      <c r="C108" s="3"/>
      <c r="D108" s="3"/>
      <c r="E108" s="3"/>
      <c r="F108" s="3"/>
      <c r="M108" s="13">
        <f>(M105+M106/60+M107/3600)*15</f>
        <v>213.9153</v>
      </c>
      <c r="N108" s="13">
        <f>N105+N106/60+N107/3600</f>
        <v>19.18241111111111</v>
      </c>
      <c r="O108">
        <f>RADIANS(O107)</f>
        <v>3.7334553833860555</v>
      </c>
      <c r="P108">
        <f>RADIANS(P107)</f>
        <v>0.3346665454251594</v>
      </c>
      <c r="R108">
        <f>DEGREES(ASIN(Q107))</f>
        <v>19.11322276923433</v>
      </c>
      <c r="S108">
        <f>RADIANS(R108)</f>
        <v>0.3335886679902874</v>
      </c>
      <c r="T108">
        <f>SIN($D$367)*COS(S105)*$A$364+SIN(S105)*$A$367</f>
        <v>-3.14370331987814E-07</v>
      </c>
      <c r="U108" s="15">
        <f>($A$388*U105-U106)*$V$12/COS(S108)</f>
        <v>9.14807587860105E-05</v>
      </c>
      <c r="V108" s="15">
        <f>($A$388*V105-V106)*$V$12</f>
        <v>-6.144995473877342E-06</v>
      </c>
      <c r="W108">
        <f>360-W105</f>
        <v>145.92439536729466</v>
      </c>
    </row>
    <row r="109" spans="1:24" ht="12.75">
      <c r="A109" s="3" t="s">
        <v>107</v>
      </c>
      <c r="B109" s="3" t="s">
        <v>107</v>
      </c>
      <c r="C109" s="3" t="s">
        <v>107</v>
      </c>
      <c r="D109" s="3" t="s">
        <v>107</v>
      </c>
      <c r="E109" s="3" t="s">
        <v>107</v>
      </c>
      <c r="F109" s="3" t="s">
        <v>107</v>
      </c>
      <c r="M109" s="3" t="s">
        <v>107</v>
      </c>
      <c r="N109" s="3" t="s">
        <v>148</v>
      </c>
      <c r="O109" s="3" t="s">
        <v>107</v>
      </c>
      <c r="P109" s="3" t="s">
        <v>107</v>
      </c>
      <c r="Q109" s="3" t="s">
        <v>107</v>
      </c>
      <c r="R109" s="3" t="s">
        <v>107</v>
      </c>
      <c r="S109" s="3" t="s">
        <v>107</v>
      </c>
      <c r="T109" s="3" t="s">
        <v>148</v>
      </c>
      <c r="U109" s="3" t="s">
        <v>107</v>
      </c>
      <c r="V109" s="3" t="s">
        <v>107</v>
      </c>
      <c r="W109" s="3" t="s">
        <v>107</v>
      </c>
      <c r="X109" s="3" t="s">
        <v>107</v>
      </c>
    </row>
    <row r="110" spans="1:24" ht="12.75">
      <c r="A110" s="3"/>
      <c r="B110" s="3"/>
      <c r="C110" s="3"/>
      <c r="D110" s="3"/>
      <c r="E110" s="3"/>
      <c r="F110" s="3"/>
      <c r="M110" s="16" t="s">
        <v>71</v>
      </c>
      <c r="N110" s="16" t="s">
        <v>106</v>
      </c>
      <c r="O110" s="16" t="s">
        <v>73</v>
      </c>
      <c r="P110" s="16" t="s">
        <v>74</v>
      </c>
      <c r="Q110" t="s">
        <v>81</v>
      </c>
      <c r="R110" t="s">
        <v>71</v>
      </c>
      <c r="S110" t="s">
        <v>85</v>
      </c>
      <c r="T110" t="s">
        <v>88</v>
      </c>
      <c r="U110" t="s">
        <v>92</v>
      </c>
      <c r="V110" t="s">
        <v>93</v>
      </c>
      <c r="W110" t="s">
        <v>71</v>
      </c>
      <c r="X110" t="s">
        <v>106</v>
      </c>
    </row>
    <row r="111" spans="1:24" ht="12.75">
      <c r="A111" s="30" t="s">
        <v>148</v>
      </c>
      <c r="B111" s="33">
        <v>43</v>
      </c>
      <c r="C111" s="34">
        <v>1.9</v>
      </c>
      <c r="D111" s="6" t="s">
        <v>132</v>
      </c>
      <c r="E111" s="36">
        <f>TRUNC(W114)</f>
        <v>107</v>
      </c>
      <c r="F111" s="37">
        <f>ABS(W114-E111)*60</f>
        <v>27.26636913555012</v>
      </c>
      <c r="M111" s="16">
        <v>16</v>
      </c>
      <c r="N111" s="16">
        <v>-69</v>
      </c>
      <c r="O111" s="16">
        <v>0.01785</v>
      </c>
      <c r="P111" s="16">
        <v>-0.03292</v>
      </c>
      <c r="Q111">
        <f>COS(P114)*SIN(O114+$B$375)</f>
        <v>-0.3408799312776329</v>
      </c>
      <c r="R111">
        <f>DEGREES(ATAN2(Q112,Q111))+$C$375</f>
        <v>-107.47700772766257</v>
      </c>
      <c r="S111">
        <f>RADIANS(R112)</f>
        <v>4.407357652140486</v>
      </c>
      <c r="T111">
        <f>(COS($D$367)+SIN($D$367)*SIN(S111)*TAN(S114))*$A$364-COS(S111)*TAN(S114)*$A$367</f>
        <v>0.00013216664712110412</v>
      </c>
      <c r="U111">
        <f>COS(S111)*COS($D$388)*COS($D$367)+SIN(S111)*SIN($D$388)</f>
        <v>-0.8659907928448638</v>
      </c>
      <c r="V111">
        <f>COS($D$388)*COS($D$367)*(TAN($D$367)*COS(S114)-SIN(S111)*SIN(S114))+COS(S111)*SIN(S114)*SIN($D$388)</f>
        <v>0.42688162175511246</v>
      </c>
      <c r="W111">
        <f>DEGREES(U114+T111+S111)</f>
        <v>252.5455605144075</v>
      </c>
      <c r="X111">
        <f>DEGREES(V114+T114+S114)</f>
        <v>-69.04833844681735</v>
      </c>
    </row>
    <row r="112" spans="1:22" ht="12.75">
      <c r="A112" s="3" t="s">
        <v>104</v>
      </c>
      <c r="B112" s="3" t="s">
        <v>105</v>
      </c>
      <c r="C112" s="3" t="s">
        <v>102</v>
      </c>
      <c r="D112" s="3" t="s">
        <v>106</v>
      </c>
      <c r="E112" s="3" t="s">
        <v>105</v>
      </c>
      <c r="F112" s="3" t="s">
        <v>102</v>
      </c>
      <c r="M112" s="16">
        <v>48</v>
      </c>
      <c r="N112" s="16">
        <v>-1</v>
      </c>
      <c r="O112" t="s">
        <v>77</v>
      </c>
      <c r="P112" t="s">
        <v>78</v>
      </c>
      <c r="Q112">
        <f>COS($F$375)*COS(P114)*COS(O114+$B$375)-SIN($F$375)*SIN(P114)</f>
        <v>-0.10788941568308884</v>
      </c>
      <c r="R112">
        <f>R111-360*INT(R111/360)</f>
        <v>252.52299227233743</v>
      </c>
      <c r="U112">
        <f>COS(S111)*COS($D$383)*COS($D$367)+SIN(S111)*SIN($D$383)</f>
        <v>-0.9562262908633689</v>
      </c>
      <c r="V112">
        <f>COS($D$383)*COS($D$367)*(TAN($D$367)*COS(S114)-SIN(S111)*SIN(S114))+COS(S111)*SIN(S114)*SIN($D$383)</f>
        <v>-0.11639390966339683</v>
      </c>
    </row>
    <row r="113" spans="1:24" ht="12.75">
      <c r="A113" s="9">
        <f>($C$370+E111+F111/60)-INT(($C$370+E111+F111/60)/360)*360</f>
        <v>14.365999218921843</v>
      </c>
      <c r="B113" s="22">
        <f>TRUNC(A113)</f>
        <v>14</v>
      </c>
      <c r="C113" s="23">
        <f>(A113-B113)*60</f>
        <v>21.95995313531057</v>
      </c>
      <c r="D113" s="38" t="str">
        <f>IF(X111&gt;=0,"N","S")</f>
        <v>S</v>
      </c>
      <c r="E113" s="22">
        <f>ABS(TRUNC(X111))</f>
        <v>69</v>
      </c>
      <c r="F113" s="23">
        <f>ABS(X111-TRUNC(X111))*60</f>
        <v>2.90030680904124</v>
      </c>
      <c r="M113" s="17">
        <v>39.895</v>
      </c>
      <c r="N113" s="17">
        <v>-39.77</v>
      </c>
      <c r="O113" s="14">
        <f>M114+O111/3600*$A$361</f>
        <v>252.1662955029102</v>
      </c>
      <c r="P113" s="14">
        <f>N114+P111/3600*$A$361</f>
        <v>-69.02783623001697</v>
      </c>
      <c r="Q113" s="14">
        <f>SIN($F$375)*COS(P114)*COS(O114+$B$375)+COS($F$375)*SIN(P114)</f>
        <v>-0.93389546868786</v>
      </c>
      <c r="R113" s="14" t="s">
        <v>106</v>
      </c>
      <c r="S113" s="8" t="s">
        <v>86</v>
      </c>
      <c r="T113" s="8" t="s">
        <v>89</v>
      </c>
      <c r="U113" s="8" t="s">
        <v>88</v>
      </c>
      <c r="V113" s="8" t="s">
        <v>89</v>
      </c>
      <c r="W113" s="8" t="s">
        <v>97</v>
      </c>
      <c r="X113" s="8"/>
    </row>
    <row r="114" spans="1:23" ht="12.75">
      <c r="A114" s="3"/>
      <c r="B114" s="3"/>
      <c r="C114" s="3"/>
      <c r="D114" s="3"/>
      <c r="E114" s="3"/>
      <c r="F114" s="3"/>
      <c r="M114" s="13">
        <f>(M111+M112/60+M113/3600)*15</f>
        <v>252.16622916666668</v>
      </c>
      <c r="N114" s="13">
        <f>N111+N112/60+N113/3600</f>
        <v>-69.02771388888888</v>
      </c>
      <c r="O114">
        <f>RADIANS(O113)</f>
        <v>4.401132119082753</v>
      </c>
      <c r="P114">
        <f>RADIANS(P113)</f>
        <v>-1.204763017741226</v>
      </c>
      <c r="R114">
        <f>DEGREES(ASIN(Q113))</f>
        <v>-69.05042668273201</v>
      </c>
      <c r="S114">
        <f>RADIANS(R114)</f>
        <v>-1.2051572955206196</v>
      </c>
      <c r="T114">
        <f>SIN($D$367)*COS(S111)*$A$364+SIN(S111)*$A$367</f>
        <v>2.4172607918419727E-05</v>
      </c>
      <c r="U114" s="15">
        <f>($A$388*U111-U112)*$V$12/COS(S114)</f>
        <v>0.0002617234833881621</v>
      </c>
      <c r="V114" s="15">
        <f>($A$388*V111-V112)*$V$12</f>
        <v>1.2273984350674978E-05</v>
      </c>
      <c r="W114">
        <f>360-W111</f>
        <v>107.4544394855925</v>
      </c>
    </row>
    <row r="115" spans="1:24" ht="12.75">
      <c r="A115" s="3" t="s">
        <v>107</v>
      </c>
      <c r="B115" s="3" t="s">
        <v>107</v>
      </c>
      <c r="C115" s="3" t="s">
        <v>107</v>
      </c>
      <c r="D115" s="3" t="s">
        <v>107</v>
      </c>
      <c r="E115" s="3" t="s">
        <v>107</v>
      </c>
      <c r="F115" s="3" t="s">
        <v>107</v>
      </c>
      <c r="M115" s="3" t="s">
        <v>107</v>
      </c>
      <c r="N115" s="3" t="s">
        <v>149</v>
      </c>
      <c r="O115" s="3" t="s">
        <v>107</v>
      </c>
      <c r="P115" s="3" t="s">
        <v>107</v>
      </c>
      <c r="Q115" s="3" t="s">
        <v>107</v>
      </c>
      <c r="R115" s="3" t="s">
        <v>107</v>
      </c>
      <c r="S115" s="3" t="s">
        <v>107</v>
      </c>
      <c r="T115" s="3" t="s">
        <v>149</v>
      </c>
      <c r="U115" s="3" t="s">
        <v>107</v>
      </c>
      <c r="V115" s="3" t="s">
        <v>107</v>
      </c>
      <c r="W115" s="3" t="s">
        <v>107</v>
      </c>
      <c r="X115" s="3" t="s">
        <v>107</v>
      </c>
    </row>
    <row r="116" spans="1:24" ht="12.75">
      <c r="A116" s="3"/>
      <c r="B116" s="3"/>
      <c r="C116" s="3"/>
      <c r="D116" s="3"/>
      <c r="E116" s="3"/>
      <c r="F116" s="3"/>
      <c r="M116" s="16" t="s">
        <v>71</v>
      </c>
      <c r="N116" s="16" t="s">
        <v>106</v>
      </c>
      <c r="O116" s="16" t="s">
        <v>73</v>
      </c>
      <c r="P116" s="16" t="s">
        <v>74</v>
      </c>
      <c r="Q116" t="s">
        <v>81</v>
      </c>
      <c r="R116" t="s">
        <v>71</v>
      </c>
      <c r="S116" t="s">
        <v>85</v>
      </c>
      <c r="T116" t="s">
        <v>88</v>
      </c>
      <c r="U116" t="s">
        <v>92</v>
      </c>
      <c r="V116" t="s">
        <v>93</v>
      </c>
      <c r="W116" t="s">
        <v>71</v>
      </c>
      <c r="X116" t="s">
        <v>106</v>
      </c>
    </row>
    <row r="117" spans="1:24" ht="12.75">
      <c r="A117" s="30" t="s">
        <v>149</v>
      </c>
      <c r="B117" s="33">
        <v>22</v>
      </c>
      <c r="C117" s="34">
        <v>1.9</v>
      </c>
      <c r="D117" s="6" t="s">
        <v>132</v>
      </c>
      <c r="E117" s="36">
        <f>TRUNC(W120)</f>
        <v>234</v>
      </c>
      <c r="F117" s="37">
        <f>ABS(W120-E117)*60</f>
        <v>18.26770115611339</v>
      </c>
      <c r="M117" s="16">
        <v>8</v>
      </c>
      <c r="N117" s="16">
        <v>-59</v>
      </c>
      <c r="O117" s="16">
        <v>-0.02534</v>
      </c>
      <c r="P117" s="16">
        <v>0.02272</v>
      </c>
      <c r="Q117">
        <f>COS(P120)*SIN(O120+$B$375)</f>
        <v>0.4119758942334622</v>
      </c>
      <c r="R117">
        <f>DEGREES(ATAN2(Q118,Q117))+$C$375</f>
        <v>125.69694560777094</v>
      </c>
      <c r="S117">
        <f>RADIANS(R118)</f>
        <v>2.193825560555828</v>
      </c>
      <c r="T117">
        <f>(COS($D$367)+SIN($D$367)*SIN(S117)*TAN(S120))*$A$364-COS(S117)*TAN(S120)*$A$367</f>
        <v>5.270652554608761E-05</v>
      </c>
      <c r="U117">
        <f>COS(S117)*COS($D$388)*COS($D$367)+SIN(S117)*SIN($D$388)</f>
        <v>0.9127171866900582</v>
      </c>
      <c r="V117">
        <f>COS($D$388)*COS($D$367)*(TAN($D$367)*COS(S120)-SIN(S117)*SIN(S120))+COS(S117)*SIN(S120)*SIN($D$388)</f>
        <v>0.2975666082439926</v>
      </c>
      <c r="W117">
        <f>DEGREES(U120+T117+S117)</f>
        <v>125.69553831406478</v>
      </c>
      <c r="X117">
        <f>DEGREES(V120+T120+S120)</f>
        <v>-59.560007469156766</v>
      </c>
    </row>
    <row r="118" spans="1:22" ht="12.75">
      <c r="A118" s="3" t="s">
        <v>104</v>
      </c>
      <c r="B118" s="3" t="s">
        <v>105</v>
      </c>
      <c r="C118" s="3" t="s">
        <v>102</v>
      </c>
      <c r="D118" s="3" t="s">
        <v>106</v>
      </c>
      <c r="E118" s="3" t="s">
        <v>105</v>
      </c>
      <c r="F118" s="3" t="s">
        <v>102</v>
      </c>
      <c r="M118" s="16">
        <v>22</v>
      </c>
      <c r="N118" s="16">
        <v>-30</v>
      </c>
      <c r="O118" t="s">
        <v>77</v>
      </c>
      <c r="P118" t="s">
        <v>78</v>
      </c>
      <c r="Q118">
        <f>COS($F$375)*COS(P120)*COS(O120+$B$375)-SIN($F$375)*SIN(P120)</f>
        <v>-0.29506796485414516</v>
      </c>
      <c r="R118">
        <f>R117-360*INT(R117/360)</f>
        <v>125.69694560777094</v>
      </c>
      <c r="U118">
        <f>COS(S117)*COS($D$383)*COS($D$367)+SIN(S117)*SIN($D$383)</f>
        <v>0.4093000072482254</v>
      </c>
      <c r="V118">
        <f>COS($D$383)*COS($D$367)*(TAN($D$367)*COS(S120)-SIN(S117)*SIN(S120))+COS(S117)*SIN(S120)*SIN($D$383)</f>
        <v>0.8716083916852473</v>
      </c>
    </row>
    <row r="119" spans="1:24" ht="12.75">
      <c r="A119" s="9">
        <f>($C$370+E117+F117/60)-INT(($C$370+E117+F117/60)/360)*360</f>
        <v>141.21602141926456</v>
      </c>
      <c r="B119" s="22">
        <f>TRUNC(A119)</f>
        <v>141</v>
      </c>
      <c r="C119" s="23">
        <f>(A119-B119)*60</f>
        <v>12.961285155873838</v>
      </c>
      <c r="D119" s="38" t="str">
        <f>IF(X117&gt;=0,"N","S")</f>
        <v>S</v>
      </c>
      <c r="E119" s="22">
        <f>ABS(TRUNC(X117))</f>
        <v>59</v>
      </c>
      <c r="F119" s="23">
        <f>ABS(X117-TRUNC(X117))*60</f>
        <v>33.600448149405935</v>
      </c>
      <c r="M119" s="17">
        <v>30.836</v>
      </c>
      <c r="N119" s="17">
        <v>-34.14</v>
      </c>
      <c r="O119" s="14">
        <f>M120+O117/3600*$A$361</f>
        <v>125.62838916188177</v>
      </c>
      <c r="P119" s="14">
        <f>N120+P117/3600*$A$361</f>
        <v>-59.50939889863011</v>
      </c>
      <c r="Q119" s="14">
        <f>SIN($F$375)*COS(P120)*COS(O120+$B$375)+COS($F$375)*SIN(P120)</f>
        <v>-0.8620967223504402</v>
      </c>
      <c r="R119" s="14" t="s">
        <v>106</v>
      </c>
      <c r="S119" s="8" t="s">
        <v>86</v>
      </c>
      <c r="T119" s="8" t="s">
        <v>89</v>
      </c>
      <c r="U119" s="8" t="s">
        <v>88</v>
      </c>
      <c r="V119" s="8" t="s">
        <v>89</v>
      </c>
      <c r="W119" s="8" t="s">
        <v>97</v>
      </c>
      <c r="X119" s="8"/>
    </row>
    <row r="120" spans="1:23" ht="12.75">
      <c r="A120" s="3"/>
      <c r="B120" s="3"/>
      <c r="C120" s="3"/>
      <c r="D120" s="3"/>
      <c r="E120" s="3"/>
      <c r="F120" s="3"/>
      <c r="M120" s="13">
        <f>(M117+M118/60+M119/3600)*15</f>
        <v>125.62848333333335</v>
      </c>
      <c r="N120" s="13">
        <f>N117+N118/60+N119/3600</f>
        <v>-59.509483333333336</v>
      </c>
      <c r="O120">
        <f>RADIANS(O119)</f>
        <v>2.1926290248515965</v>
      </c>
      <c r="P120">
        <f>RADIANS(P119)</f>
        <v>-1.0386349466637828</v>
      </c>
      <c r="R120">
        <f>DEGREES(ASIN(Q119))</f>
        <v>-59.552824202377835</v>
      </c>
      <c r="S120">
        <f>RADIANS(R120)</f>
        <v>-1.0393928611928591</v>
      </c>
      <c r="T120">
        <f>SIN($D$367)*COS(S117)*$A$364+SIN(S117)*$A$367</f>
        <v>-3.9258084481319844E-05</v>
      </c>
      <c r="U120" s="15">
        <f>($A$388*U117-U118)*$V$12/COS(S120)</f>
        <v>-7.726843426124736E-05</v>
      </c>
      <c r="V120" s="15">
        <f>($A$388*V117-V118)*$V$12</f>
        <v>-8.611357186013168E-05</v>
      </c>
      <c r="W120">
        <f>360-W117</f>
        <v>234.30446168593522</v>
      </c>
    </row>
    <row r="121" spans="1:24" ht="12.75">
      <c r="A121" s="3" t="s">
        <v>107</v>
      </c>
      <c r="B121" s="3" t="s">
        <v>107</v>
      </c>
      <c r="C121" s="3" t="s">
        <v>107</v>
      </c>
      <c r="D121" s="3" t="s">
        <v>107</v>
      </c>
      <c r="E121" s="3" t="s">
        <v>107</v>
      </c>
      <c r="F121" s="3" t="s">
        <v>107</v>
      </c>
      <c r="M121" s="3" t="s">
        <v>107</v>
      </c>
      <c r="N121" s="3" t="s">
        <v>150</v>
      </c>
      <c r="O121" s="3" t="s">
        <v>107</v>
      </c>
      <c r="P121" s="3" t="s">
        <v>107</v>
      </c>
      <c r="Q121" s="3" t="s">
        <v>107</v>
      </c>
      <c r="R121" s="3" t="s">
        <v>107</v>
      </c>
      <c r="S121" s="3" t="s">
        <v>107</v>
      </c>
      <c r="T121" s="3" t="s">
        <v>150</v>
      </c>
      <c r="U121" s="3" t="s">
        <v>107</v>
      </c>
      <c r="V121" s="3" t="s">
        <v>107</v>
      </c>
      <c r="W121" s="3" t="s">
        <v>107</v>
      </c>
      <c r="X121" s="3" t="s">
        <v>107</v>
      </c>
    </row>
    <row r="122" spans="1:24" ht="12.75">
      <c r="A122" s="3"/>
      <c r="B122" s="3"/>
      <c r="C122" s="3"/>
      <c r="D122" s="3"/>
      <c r="E122" s="3"/>
      <c r="F122" s="3"/>
      <c r="M122" s="16" t="s">
        <v>71</v>
      </c>
      <c r="N122" s="16" t="s">
        <v>106</v>
      </c>
      <c r="O122" s="16" t="s">
        <v>73</v>
      </c>
      <c r="P122" s="16" t="s">
        <v>74</v>
      </c>
      <c r="Q122" t="s">
        <v>81</v>
      </c>
      <c r="R122" t="s">
        <v>71</v>
      </c>
      <c r="S122" t="s">
        <v>85</v>
      </c>
      <c r="T122" t="s">
        <v>88</v>
      </c>
      <c r="U122" t="s">
        <v>92</v>
      </c>
      <c r="V122" t="s">
        <v>93</v>
      </c>
      <c r="W122" t="s">
        <v>71</v>
      </c>
      <c r="X122" t="s">
        <v>106</v>
      </c>
    </row>
    <row r="123" spans="1:24" ht="12.75">
      <c r="A123" s="30" t="s">
        <v>150</v>
      </c>
      <c r="B123" s="33">
        <v>13</v>
      </c>
      <c r="C123" s="34">
        <v>1.6</v>
      </c>
      <c r="D123" s="6" t="s">
        <v>132</v>
      </c>
      <c r="E123" s="36">
        <f>TRUNC(W126)</f>
        <v>278</v>
      </c>
      <c r="F123" s="37">
        <f>ABS(W126-E123)*60</f>
        <v>32.38051218696796</v>
      </c>
      <c r="M123" s="16">
        <v>5</v>
      </c>
      <c r="N123" s="16">
        <v>6</v>
      </c>
      <c r="O123" s="16">
        <v>-0.00875</v>
      </c>
      <c r="P123" s="16">
        <v>-0.01328</v>
      </c>
      <c r="Q123">
        <f>COS(P126)*SIN(O126+$B$375)</f>
        <v>0.9826088226165894</v>
      </c>
      <c r="R123">
        <f>DEGREES(ATAN2(Q124,Q123))+$C$375</f>
        <v>81.46235163951536</v>
      </c>
      <c r="S123">
        <f>RADIANS(R124)</f>
        <v>1.421786252526944</v>
      </c>
      <c r="T123">
        <f>(COS($D$367)+SIN($D$367)*SIN(S123)*TAN(S126))*$A$364-COS(S123)*TAN(S126)*$A$367</f>
        <v>5.433135380791985E-05</v>
      </c>
      <c r="U123">
        <f>COS(S123)*COS($D$388)*COS($D$367)+SIN(S123)*SIN($D$388)</f>
        <v>0.9318897814044077</v>
      </c>
      <c r="V123">
        <f>COS($D$388)*COS($D$367)*(TAN($D$367)*COS(S126)-SIN(S123)*SIN(S126))+COS(S123)*SIN(S126)*SIN($D$388)</f>
        <v>-0.051127284489680784</v>
      </c>
      <c r="W123">
        <f>DEGREES(U126+T123+S123)</f>
        <v>81.46032479688385</v>
      </c>
      <c r="X123">
        <f>DEGREES(V126+T126+S126)</f>
        <v>6.35821627676241</v>
      </c>
    </row>
    <row r="124" spans="1:22" ht="12.75">
      <c r="A124" s="3" t="s">
        <v>104</v>
      </c>
      <c r="B124" s="3" t="s">
        <v>105</v>
      </c>
      <c r="C124" s="3" t="s">
        <v>102</v>
      </c>
      <c r="D124" s="3" t="s">
        <v>106</v>
      </c>
      <c r="E124" s="3" t="s">
        <v>105</v>
      </c>
      <c r="F124" s="3" t="s">
        <v>102</v>
      </c>
      <c r="M124" s="16">
        <v>25</v>
      </c>
      <c r="N124" s="16">
        <v>20</v>
      </c>
      <c r="O124" t="s">
        <v>77</v>
      </c>
      <c r="P124" t="s">
        <v>78</v>
      </c>
      <c r="Q124">
        <f>COS($F$375)*COS(P126)*COS(O126+$B$375)-SIN($F$375)*SIN(P126)</f>
        <v>0.14901542236403362</v>
      </c>
      <c r="R124">
        <f>R123-360*INT(R123/360)</f>
        <v>81.46235163951536</v>
      </c>
      <c r="U124">
        <f>COS(S123)*COS($D$383)*COS($D$367)+SIN(S123)*SIN($D$383)</f>
        <v>0.9128039572915312</v>
      </c>
      <c r="V124">
        <f>COS($D$383)*COS($D$367)*(TAN($D$367)*COS(S126)-SIN(S123)*SIN(S126))+COS(S123)*SIN(S126)*SIN($D$383)</f>
        <v>0.1689680778907055</v>
      </c>
    </row>
    <row r="125" spans="1:24" ht="12.75">
      <c r="A125" s="9">
        <f>($C$370+E123+F123/60)-INT(($C$370+E123+F123/60)/360)*360</f>
        <v>185.45123493644542</v>
      </c>
      <c r="B125" s="22">
        <f>TRUNC(A125)</f>
        <v>185</v>
      </c>
      <c r="C125" s="23">
        <f>(A125-B125)*60</f>
        <v>27.074096186725</v>
      </c>
      <c r="D125" s="38" t="str">
        <f>IF(X123&gt;=0,"N","S")</f>
        <v>N</v>
      </c>
      <c r="E125" s="22">
        <f>ABS(TRUNC(X123))</f>
        <v>6</v>
      </c>
      <c r="F125" s="23">
        <f>ABS(X123-TRUNC(X123))*60</f>
        <v>21.492976605744598</v>
      </c>
      <c r="M125" s="17">
        <v>7.863</v>
      </c>
      <c r="N125" s="17">
        <v>58.93</v>
      </c>
      <c r="O125" s="14">
        <f>M126+O123/3600*$A$361</f>
        <v>81.28272998223358</v>
      </c>
      <c r="P125" s="14">
        <f>N126+P123/3600*$A$361</f>
        <v>6.34965342509913</v>
      </c>
      <c r="Q125" s="14">
        <f>SIN($F$375)*COS(P126)*COS(O126+$B$375)+COS($F$375)*SIN(P126)</f>
        <v>0.11078946526501787</v>
      </c>
      <c r="R125" s="14" t="s">
        <v>106</v>
      </c>
      <c r="S125" s="8" t="s">
        <v>86</v>
      </c>
      <c r="T125" s="8" t="s">
        <v>89</v>
      </c>
      <c r="U125" s="8" t="s">
        <v>88</v>
      </c>
      <c r="V125" s="8" t="s">
        <v>89</v>
      </c>
      <c r="W125" s="8" t="s">
        <v>97</v>
      </c>
      <c r="X125" s="8"/>
    </row>
    <row r="126" spans="1:23" ht="12.75">
      <c r="A126" s="3"/>
      <c r="B126" s="3"/>
      <c r="C126" s="3"/>
      <c r="D126" s="3"/>
      <c r="E126" s="3"/>
      <c r="F126" s="3"/>
      <c r="M126" s="13">
        <f>(M123+M124/60+M125/3600)*15</f>
        <v>81.2827625</v>
      </c>
      <c r="N126" s="13">
        <f>N123+N124/60+N125/3600</f>
        <v>6.349702777777778</v>
      </c>
      <c r="O126">
        <f>RADIANS(O125)</f>
        <v>1.4186512631994879</v>
      </c>
      <c r="P126">
        <f>RADIANS(P125)</f>
        <v>0.11082235862851497</v>
      </c>
      <c r="R126">
        <f>DEGREES(ASIN(Q125))</f>
        <v>6.360826770906533</v>
      </c>
      <c r="S126">
        <f>RADIANS(R126)</f>
        <v>0.11101737030131806</v>
      </c>
      <c r="T126">
        <f>SIN($D$367)*COS(S123)*$A$364+SIN(S123)*$A$367</f>
        <v>-2.8687334763045868E-05</v>
      </c>
      <c r="U126" s="15">
        <f>($A$388*U123-U124)*$V$12/COS(S126)</f>
        <v>-8.970643114746488E-05</v>
      </c>
      <c r="V126" s="15">
        <f>($A$388*V123-V124)*$V$12</f>
        <v>-1.68743831559307E-05</v>
      </c>
      <c r="W126">
        <f>360-W123</f>
        <v>278.53967520311613</v>
      </c>
    </row>
    <row r="127" spans="1:24" ht="12.75">
      <c r="A127" s="3" t="s">
        <v>107</v>
      </c>
      <c r="B127" s="3" t="s">
        <v>107</v>
      </c>
      <c r="C127" s="3" t="s">
        <v>107</v>
      </c>
      <c r="D127" s="3" t="s">
        <v>107</v>
      </c>
      <c r="E127" s="3" t="s">
        <v>107</v>
      </c>
      <c r="F127" s="3" t="s">
        <v>107</v>
      </c>
      <c r="M127" s="3" t="s">
        <v>107</v>
      </c>
      <c r="N127" s="3" t="s">
        <v>151</v>
      </c>
      <c r="O127" s="3" t="s">
        <v>107</v>
      </c>
      <c r="P127" s="3" t="s">
        <v>107</v>
      </c>
      <c r="Q127" s="3" t="s">
        <v>107</v>
      </c>
      <c r="R127" s="3" t="s">
        <v>107</v>
      </c>
      <c r="S127" s="3" t="s">
        <v>107</v>
      </c>
      <c r="T127" s="3" t="s">
        <v>151</v>
      </c>
      <c r="U127" s="3" t="s">
        <v>107</v>
      </c>
      <c r="V127" s="3" t="s">
        <v>107</v>
      </c>
      <c r="W127" s="3" t="s">
        <v>107</v>
      </c>
      <c r="X127" s="3" t="s">
        <v>107</v>
      </c>
    </row>
    <row r="128" spans="1:24" ht="12.75">
      <c r="A128" s="3"/>
      <c r="B128" s="3"/>
      <c r="C128" s="3"/>
      <c r="D128" s="3"/>
      <c r="E128" s="3"/>
      <c r="F128" s="3"/>
      <c r="M128" s="16" t="s">
        <v>71</v>
      </c>
      <c r="N128" s="16" t="s">
        <v>106</v>
      </c>
      <c r="O128" s="16" t="s">
        <v>73</v>
      </c>
      <c r="P128" s="16" t="s">
        <v>74</v>
      </c>
      <c r="Q128" t="s">
        <v>81</v>
      </c>
      <c r="R128" t="s">
        <v>71</v>
      </c>
      <c r="S128" t="s">
        <v>85</v>
      </c>
      <c r="T128" t="s">
        <v>88</v>
      </c>
      <c r="U128" t="s">
        <v>92</v>
      </c>
      <c r="V128" t="s">
        <v>93</v>
      </c>
      <c r="W128" t="s">
        <v>71</v>
      </c>
      <c r="X128" t="s">
        <v>106</v>
      </c>
    </row>
    <row r="129" spans="1:24" ht="12.75">
      <c r="A129" s="30" t="s">
        <v>151</v>
      </c>
      <c r="B129" s="33">
        <v>16</v>
      </c>
      <c r="C129" s="39" t="s">
        <v>11</v>
      </c>
      <c r="D129" s="6" t="s">
        <v>132</v>
      </c>
      <c r="E129" s="36">
        <f>TRUNC(W132)</f>
        <v>271</v>
      </c>
      <c r="F129" s="37">
        <f>ABS(W132-E129)*60</f>
        <v>1.6551820391521233</v>
      </c>
      <c r="M129" s="16">
        <v>5</v>
      </c>
      <c r="N129" s="16">
        <v>7</v>
      </c>
      <c r="O129" s="16">
        <v>0.02733</v>
      </c>
      <c r="P129" s="16">
        <v>0.01086</v>
      </c>
      <c r="Q129">
        <f>COS(P132)*SIN(O132+$B$375)</f>
        <v>0.9914653052316393</v>
      </c>
      <c r="R129">
        <f>DEGREES(ATAN2(Q130,Q129))+$C$375</f>
        <v>88.97414109244347</v>
      </c>
      <c r="S129">
        <f>RADIANS(R130)</f>
        <v>1.552891711197123</v>
      </c>
      <c r="T129">
        <f>(COS($D$367)+SIN($D$367)*SIN(S129)*TAN(S132))*$A$364-COS(S129)*TAN(S132)*$A$367</f>
        <v>5.43112383562703E-05</v>
      </c>
      <c r="U129">
        <f>COS(S129)*COS($D$388)*COS($D$367)+SIN(S129)*SIN($D$388)</f>
        <v>0.9698106426730573</v>
      </c>
      <c r="V129">
        <f>COS($D$388)*COS($D$367)*(TAN($D$367)*COS(S132)-SIN(S129)*SIN(S132))+COS(S129)*SIN(S132)*SIN($D$388)</f>
        <v>-0.06064950984469189</v>
      </c>
      <c r="W129">
        <f>DEGREES(U132+T129+S129)</f>
        <v>88.97241363268078</v>
      </c>
      <c r="X129">
        <f>DEGREES(V132+T132+S132)</f>
        <v>7.405881624436063</v>
      </c>
    </row>
    <row r="130" spans="1:22" ht="12.75">
      <c r="A130" s="3" t="s">
        <v>104</v>
      </c>
      <c r="B130" s="3" t="s">
        <v>105</v>
      </c>
      <c r="C130" s="3" t="s">
        <v>102</v>
      </c>
      <c r="D130" s="3" t="s">
        <v>106</v>
      </c>
      <c r="E130" s="3" t="s">
        <v>105</v>
      </c>
      <c r="F130" s="3" t="s">
        <v>102</v>
      </c>
      <c r="M130" s="16">
        <v>55</v>
      </c>
      <c r="N130" s="16">
        <v>24</v>
      </c>
      <c r="O130" t="s">
        <v>77</v>
      </c>
      <c r="P130" t="s">
        <v>78</v>
      </c>
      <c r="Q130">
        <f>COS($F$375)*COS(P132)*COS(O132+$B$375)-SIN($F$375)*SIN(P132)</f>
        <v>0.0192374045692272</v>
      </c>
      <c r="R130">
        <f>R129-360*INT(R129/360)</f>
        <v>88.97414109244347</v>
      </c>
      <c r="U130">
        <f>COS(S129)*COS($D$383)*COS($D$367)+SIN(S129)*SIN($D$383)</f>
        <v>0.8591106373185815</v>
      </c>
      <c r="V130">
        <f>COS($D$383)*COS($D$367)*(TAN($D$367)*COS(S132)-SIN(S129)*SIN(S132))+COS(S129)*SIN(S132)*SIN($D$383)</f>
        <v>0.1471424764237259</v>
      </c>
    </row>
    <row r="131" spans="1:24" ht="12.75">
      <c r="A131" s="9">
        <f>($C$370+E129+F129/60)-INT(($C$370+E129+F129/60)/360)*360</f>
        <v>177.9391461006485</v>
      </c>
      <c r="B131" s="22">
        <f>TRUNC(A131)</f>
        <v>177</v>
      </c>
      <c r="C131" s="23">
        <f>(A131-B131)*60</f>
        <v>56.34876603890916</v>
      </c>
      <c r="D131" s="38" t="str">
        <f>IF(X129&gt;=0,"N","S")</f>
        <v>N</v>
      </c>
      <c r="E131" s="22">
        <f>ABS(TRUNC(X129))</f>
        <v>7</v>
      </c>
      <c r="F131" s="23">
        <f>ABS(X129-TRUNC(X129))*60</f>
        <v>24.352897466163768</v>
      </c>
      <c r="M131" s="17">
        <v>10.305</v>
      </c>
      <c r="N131" s="17">
        <v>25.43</v>
      </c>
      <c r="O131" s="14">
        <f>M132+O129/3600*$A$361</f>
        <v>88.79303906692076</v>
      </c>
      <c r="P131" s="14">
        <f>N132+P129/3600*$A$361</f>
        <v>7.4071042480824225</v>
      </c>
      <c r="Q131" s="14">
        <f>SIN($F$375)*COS(P132)*COS(O132+$B$375)+COS($F$375)*SIN(P132)</f>
        <v>0.12894367292493347</v>
      </c>
      <c r="R131" s="14" t="s">
        <v>106</v>
      </c>
      <c r="S131" s="8" t="s">
        <v>86</v>
      </c>
      <c r="T131" s="8" t="s">
        <v>89</v>
      </c>
      <c r="U131" s="8" t="s">
        <v>88</v>
      </c>
      <c r="V131" s="8" t="s">
        <v>89</v>
      </c>
      <c r="W131" s="8" t="s">
        <v>97</v>
      </c>
      <c r="X131" s="8"/>
    </row>
    <row r="132" spans="1:23" ht="12.75">
      <c r="A132" s="3"/>
      <c r="B132" s="3"/>
      <c r="C132" s="3"/>
      <c r="D132" s="3"/>
      <c r="E132" s="3"/>
      <c r="F132" s="3"/>
      <c r="M132" s="13">
        <f>(M129+M130/60+M131/3600)*15</f>
        <v>88.79293750000001</v>
      </c>
      <c r="N132" s="13">
        <f>N129+N130/60+N131/3600</f>
        <v>7.40706388888889</v>
      </c>
      <c r="O132">
        <f>RADIANS(O131)</f>
        <v>1.5497308845697209</v>
      </c>
      <c r="P132">
        <f>RADIANS(P131)</f>
        <v>0.12927835716749717</v>
      </c>
      <c r="R132">
        <f>DEGREES(ASIN(Q131))</f>
        <v>7.40855548933232</v>
      </c>
      <c r="S132">
        <f>RADIANS(R132)</f>
        <v>0.12930368610554863</v>
      </c>
      <c r="T132">
        <f>SIN($D$367)*COS(S129)*$A$364+SIN(S129)*$A$367</f>
        <v>-3.1946261784398834E-05</v>
      </c>
      <c r="U132" s="15">
        <f>($A$388*U129-U130)*$V$12/COS(S132)</f>
        <v>-8.446109891085031E-05</v>
      </c>
      <c r="V132" s="15">
        <f>($A$388*V129-V130)*$V$12</f>
        <v>-1.4721484408788662E-05</v>
      </c>
      <c r="W132">
        <f>360-W129</f>
        <v>271.0275863673192</v>
      </c>
    </row>
    <row r="133" spans="1:24" ht="12.75">
      <c r="A133" s="3" t="s">
        <v>107</v>
      </c>
      <c r="B133" s="3" t="s">
        <v>107</v>
      </c>
      <c r="C133" s="3" t="s">
        <v>107</v>
      </c>
      <c r="D133" s="3" t="s">
        <v>107</v>
      </c>
      <c r="E133" s="3" t="s">
        <v>107</v>
      </c>
      <c r="F133" s="3" t="s">
        <v>107</v>
      </c>
      <c r="M133" s="3" t="s">
        <v>107</v>
      </c>
      <c r="N133" s="3" t="s">
        <v>153</v>
      </c>
      <c r="O133" s="3" t="s">
        <v>107</v>
      </c>
      <c r="P133" s="3" t="s">
        <v>107</v>
      </c>
      <c r="Q133" s="3" t="s">
        <v>107</v>
      </c>
      <c r="R133" s="3" t="s">
        <v>107</v>
      </c>
      <c r="S133" s="3" t="s">
        <v>107</v>
      </c>
      <c r="T133" s="3" t="s">
        <v>153</v>
      </c>
      <c r="U133" s="3" t="s">
        <v>107</v>
      </c>
      <c r="V133" s="3" t="s">
        <v>107</v>
      </c>
      <c r="W133" s="3" t="s">
        <v>107</v>
      </c>
      <c r="X133" s="3" t="s">
        <v>107</v>
      </c>
    </row>
    <row r="134" spans="1:24" ht="12.75">
      <c r="A134" s="3"/>
      <c r="B134" s="3"/>
      <c r="C134" s="3"/>
      <c r="D134" s="3"/>
      <c r="E134" s="3"/>
      <c r="F134" s="3"/>
      <c r="M134" s="16" t="s">
        <v>71</v>
      </c>
      <c r="N134" s="16" t="s">
        <v>106</v>
      </c>
      <c r="O134" s="16" t="s">
        <v>73</v>
      </c>
      <c r="P134" s="16" t="s">
        <v>74</v>
      </c>
      <c r="Q134" t="s">
        <v>81</v>
      </c>
      <c r="R134" t="s">
        <v>71</v>
      </c>
      <c r="S134" t="s">
        <v>85</v>
      </c>
      <c r="T134" t="s">
        <v>88</v>
      </c>
      <c r="U134" t="s">
        <v>92</v>
      </c>
      <c r="V134" t="s">
        <v>93</v>
      </c>
      <c r="W134" t="s">
        <v>71</v>
      </c>
      <c r="X134" t="s">
        <v>106</v>
      </c>
    </row>
    <row r="135" spans="1:24" ht="12.75">
      <c r="A135" s="30" t="s">
        <v>153</v>
      </c>
      <c r="B135" s="33">
        <v>17</v>
      </c>
      <c r="C135" s="34">
        <v>-0.7</v>
      </c>
      <c r="D135" s="6" t="s">
        <v>132</v>
      </c>
      <c r="E135" s="36">
        <f>TRUNC(W138)</f>
        <v>263</v>
      </c>
      <c r="F135" s="37">
        <f>ABS(W138-E135)*60</f>
        <v>56.61358664826821</v>
      </c>
      <c r="M135" s="16">
        <v>6</v>
      </c>
      <c r="N135" s="16">
        <v>-52</v>
      </c>
      <c r="O135" s="16">
        <v>0.01999</v>
      </c>
      <c r="P135" s="16">
        <v>0.02367</v>
      </c>
      <c r="Q135">
        <f>COS(P138)*SIN(O138+$B$375)</f>
        <v>0.6026478239002163</v>
      </c>
      <c r="R135">
        <f>DEGREES(ATAN2(Q136,Q135))+$C$375</f>
        <v>96.06221948484888</v>
      </c>
      <c r="S135">
        <f>RADIANS(R136)</f>
        <v>1.676602016784064</v>
      </c>
      <c r="T135">
        <f>(COS($D$367)+SIN($D$367)*SIN(S135)*TAN(S138))*$A$364-COS(S135)*TAN(S138)*$A$367</f>
        <v>2.6772536098783876E-05</v>
      </c>
      <c r="U135">
        <f>COS(S135)*COS($D$388)*COS($D$367)+SIN(S135)*SIN($D$388)</f>
        <v>0.9903362019365317</v>
      </c>
      <c r="V135">
        <f>COS($D$388)*COS($D$367)*(TAN($D$367)*COS(S138)-SIN(S135)*SIN(S138))+COS(S135)*SIN(S138)*SIN($D$388)</f>
        <v>-0.13843003055802572</v>
      </c>
      <c r="W135">
        <f>DEGREES(U138+T135+S135)</f>
        <v>96.05644022252888</v>
      </c>
      <c r="X135">
        <f>DEGREES(V138+T138+S138)</f>
        <v>-52.708683277815325</v>
      </c>
    </row>
    <row r="136" spans="1:22" ht="12.75">
      <c r="A136" s="3" t="s">
        <v>104</v>
      </c>
      <c r="B136" s="3" t="s">
        <v>105</v>
      </c>
      <c r="C136" s="3" t="s">
        <v>102</v>
      </c>
      <c r="D136" s="3" t="s">
        <v>106</v>
      </c>
      <c r="E136" s="3" t="s">
        <v>105</v>
      </c>
      <c r="F136" s="3" t="s">
        <v>102</v>
      </c>
      <c r="M136" s="16">
        <v>23</v>
      </c>
      <c r="N136" s="16">
        <v>-41</v>
      </c>
      <c r="O136" t="s">
        <v>77</v>
      </c>
      <c r="P136" t="s">
        <v>78</v>
      </c>
      <c r="Q136">
        <f>COS($F$375)*COS(P138)*COS(O138+$B$375)-SIN($F$375)*SIN(P138)</f>
        <v>-0.0630910230455067</v>
      </c>
      <c r="R136">
        <f>R135-360*INT(R135/360)</f>
        <v>96.06221948484888</v>
      </c>
      <c r="U136">
        <f>COS(S135)*COS($D$383)*COS($D$367)+SIN(S135)*SIN($D$383)</f>
        <v>0.7949051677800292</v>
      </c>
      <c r="V136">
        <f>COS($D$383)*COS($D$367)*(TAN($D$367)*COS(S138)-SIN(S135)*SIN(S138))+COS(S135)*SIN(S138)*SIN($D$383)</f>
        <v>0.5798019428140143</v>
      </c>
    </row>
    <row r="137" spans="1:24" ht="12.75">
      <c r="A137" s="9">
        <f>($C$370+E135+F135/60)-INT(($C$370+E135+F135/60)/360)*360</f>
        <v>170.85511951080048</v>
      </c>
      <c r="B137" s="22">
        <f>TRUNC(A137)</f>
        <v>170</v>
      </c>
      <c r="C137" s="23">
        <f>(A137-B137)*60</f>
        <v>51.30717064802866</v>
      </c>
      <c r="D137" s="38" t="str">
        <f>IF(X135&gt;=0,"N","S")</f>
        <v>S</v>
      </c>
      <c r="E137" s="22">
        <f>ABS(TRUNC(X135))</f>
        <v>52</v>
      </c>
      <c r="F137" s="23">
        <f>ABS(X135-TRUNC(X135))*60</f>
        <v>42.52099666891951</v>
      </c>
      <c r="M137" s="17">
        <v>57.11</v>
      </c>
      <c r="N137" s="17">
        <v>-44.38</v>
      </c>
      <c r="O137" s="14">
        <f>M138+O135/3600*$A$361</f>
        <v>95.98803262249344</v>
      </c>
      <c r="P137" s="14">
        <f>N138+P135/3600*$A$361</f>
        <v>-52.695573145907524</v>
      </c>
      <c r="Q137" s="14">
        <f>SIN($F$375)*COS(P138)*COS(O138+$B$375)+COS($F$375)*SIN(P138)</f>
        <v>-0.7955093482539379</v>
      </c>
      <c r="R137" s="14" t="s">
        <v>106</v>
      </c>
      <c r="S137" s="8" t="s">
        <v>86</v>
      </c>
      <c r="T137" s="8" t="s">
        <v>89</v>
      </c>
      <c r="U137" s="8" t="s">
        <v>88</v>
      </c>
      <c r="V137" s="8" t="s">
        <v>89</v>
      </c>
      <c r="W137" s="8" t="s">
        <v>97</v>
      </c>
      <c r="X137" s="8"/>
    </row>
    <row r="138" spans="1:23" ht="12.75">
      <c r="A138" s="3"/>
      <c r="B138" s="3"/>
      <c r="C138" s="3"/>
      <c r="D138" s="3"/>
      <c r="E138" s="3"/>
      <c r="F138" s="3"/>
      <c r="M138" s="13">
        <f>(M135+M136/60+M137/3600)*15</f>
        <v>95.98795833333334</v>
      </c>
      <c r="N138" s="13">
        <f>N135+N136/60+N137/3600</f>
        <v>-52.69566111111111</v>
      </c>
      <c r="O138">
        <f>RADIANS(O137)</f>
        <v>1.6753072117742378</v>
      </c>
      <c r="P138">
        <f>RADIANS(P137)</f>
        <v>-0.9197112526215926</v>
      </c>
      <c r="R138">
        <f>DEGREES(ASIN(Q137))</f>
        <v>-52.70339136925396</v>
      </c>
      <c r="S138">
        <f>RADIANS(R138)</f>
        <v>-0.9198477063606442</v>
      </c>
      <c r="T138">
        <f>SIN($D$367)*COS(S135)*$A$364+SIN(S135)*$A$367</f>
        <v>-3.451940705658346E-05</v>
      </c>
      <c r="U138" s="15">
        <f>($A$388*U135-U136)*$V$12/COS(S138)</f>
        <v>-0.00012763969191924543</v>
      </c>
      <c r="V138" s="15">
        <f>($A$388*V135-V136)*$V$12</f>
        <v>-5.784182105372495E-05</v>
      </c>
      <c r="W138">
        <f>360-W135</f>
        <v>263.94355977747114</v>
      </c>
    </row>
    <row r="139" spans="1:24" ht="12.75">
      <c r="A139" s="3" t="s">
        <v>107</v>
      </c>
      <c r="B139" s="3" t="s">
        <v>107</v>
      </c>
      <c r="C139" s="3" t="s">
        <v>107</v>
      </c>
      <c r="D139" s="3" t="s">
        <v>107</v>
      </c>
      <c r="E139" s="3" t="s">
        <v>107</v>
      </c>
      <c r="F139" s="3" t="s">
        <v>107</v>
      </c>
      <c r="M139" s="3" t="s">
        <v>107</v>
      </c>
      <c r="N139" s="3" t="s">
        <v>154</v>
      </c>
      <c r="O139" s="3" t="s">
        <v>107</v>
      </c>
      <c r="P139" s="3" t="s">
        <v>107</v>
      </c>
      <c r="Q139" s="3" t="s">
        <v>107</v>
      </c>
      <c r="R139" s="3" t="s">
        <v>107</v>
      </c>
      <c r="S139" s="3" t="s">
        <v>107</v>
      </c>
      <c r="T139" s="3" t="s">
        <v>154</v>
      </c>
      <c r="U139" s="3" t="s">
        <v>107</v>
      </c>
      <c r="V139" s="3" t="s">
        <v>107</v>
      </c>
      <c r="W139" s="3" t="s">
        <v>107</v>
      </c>
      <c r="X139" s="3" t="s">
        <v>107</v>
      </c>
    </row>
    <row r="140" spans="1:24" ht="12.75">
      <c r="A140" s="3"/>
      <c r="B140" s="3"/>
      <c r="C140" s="3"/>
      <c r="D140" s="3"/>
      <c r="E140" s="3"/>
      <c r="F140" s="3"/>
      <c r="M140" s="16" t="s">
        <v>71</v>
      </c>
      <c r="N140" s="16" t="s">
        <v>106</v>
      </c>
      <c r="O140" s="16" t="s">
        <v>73</v>
      </c>
      <c r="P140" s="16" t="s">
        <v>74</v>
      </c>
      <c r="Q140" t="s">
        <v>81</v>
      </c>
      <c r="R140" t="s">
        <v>71</v>
      </c>
      <c r="S140" t="s">
        <v>85</v>
      </c>
      <c r="T140" t="s">
        <v>88</v>
      </c>
      <c r="U140" t="s">
        <v>92</v>
      </c>
      <c r="V140" t="s">
        <v>93</v>
      </c>
      <c r="W140" t="s">
        <v>71</v>
      </c>
      <c r="X140" t="s">
        <v>106</v>
      </c>
    </row>
    <row r="141" spans="1:24" ht="12.75">
      <c r="A141" s="30" t="s">
        <v>154</v>
      </c>
      <c r="B141" s="33">
        <v>12</v>
      </c>
      <c r="C141" s="34">
        <v>0.1</v>
      </c>
      <c r="D141" s="6" t="s">
        <v>132</v>
      </c>
      <c r="E141" s="36">
        <f>TRUNC(W144)</f>
        <v>280</v>
      </c>
      <c r="F141" s="37">
        <f>ABS(W144-E141)*60</f>
        <v>34.982071369521464</v>
      </c>
      <c r="M141" s="16">
        <v>5</v>
      </c>
      <c r="N141" s="16">
        <v>45</v>
      </c>
      <c r="O141" s="16">
        <v>0.07552</v>
      </c>
      <c r="P141" s="16">
        <v>-0.42711</v>
      </c>
      <c r="Q141">
        <f>COS(P144)*SIN(O144+$B$375)</f>
        <v>0.6825305450139264</v>
      </c>
      <c r="R141">
        <f>DEGREES(ATAN2(Q142,Q141))+$C$375</f>
        <v>79.41982711057535</v>
      </c>
      <c r="S141">
        <f>RADIANS(R142)</f>
        <v>1.3861374744441946</v>
      </c>
      <c r="T141">
        <f>(COS($D$367)+SIN($D$367)*SIN(S141)*TAN(S144))*$A$364-COS(S141)*TAN(S144)*$A$367</f>
        <v>8.015843706887343E-05</v>
      </c>
      <c r="U141">
        <f>COS(S141)*COS($D$388)*COS($D$367)+SIN(S141)*SIN($D$388)</f>
        <v>0.9187788939672707</v>
      </c>
      <c r="V141">
        <f>COS($D$388)*COS($D$367)*(TAN($D$367)*COS(S144)-SIN(S141)*SIN(S144))+COS(S141)*SIN(S144)*SIN($D$388)</f>
        <v>0.2135198495786514</v>
      </c>
      <c r="W141">
        <f>DEGREES(U144+T141+S141)</f>
        <v>79.41696547717463</v>
      </c>
      <c r="X141">
        <f>DEGREES(V144+T144+S144)</f>
        <v>46.00914675565102</v>
      </c>
    </row>
    <row r="142" spans="1:22" ht="12.75">
      <c r="A142" s="3" t="s">
        <v>104</v>
      </c>
      <c r="B142" s="3" t="s">
        <v>105</v>
      </c>
      <c r="C142" s="3" t="s">
        <v>102</v>
      </c>
      <c r="D142" s="3" t="s">
        <v>106</v>
      </c>
      <c r="E142" s="3" t="s">
        <v>105</v>
      </c>
      <c r="F142" s="3" t="s">
        <v>102</v>
      </c>
      <c r="M142" s="16">
        <v>16</v>
      </c>
      <c r="N142" s="16">
        <v>59</v>
      </c>
      <c r="O142" t="s">
        <v>77</v>
      </c>
      <c r="P142" t="s">
        <v>78</v>
      </c>
      <c r="Q142">
        <f>COS($F$375)*COS(P144)*COS(O144+$B$375)-SIN($F$375)*SIN(P144)</f>
        <v>0.1285446278785506</v>
      </c>
      <c r="R142">
        <f>R141-360*INT(R141/360)</f>
        <v>79.41982711057535</v>
      </c>
      <c r="U142">
        <f>COS(S141)*COS($D$383)*COS($D$367)+SIN(S141)*SIN($D$383)</f>
        <v>0.924726804817869</v>
      </c>
      <c r="V142">
        <f>COS($D$383)*COS($D$367)*(TAN($D$367)*COS(S144)-SIN(S141)*SIN(S144))+COS(S141)*SIN(S144)*SIN($D$383)</f>
        <v>-0.08357798928357679</v>
      </c>
    </row>
    <row r="143" spans="1:24" ht="12.75">
      <c r="A143" s="9">
        <f>($C$370+E141+F141/60)-INT(($C$370+E141+F141/60)/360)*360</f>
        <v>187.49459425615464</v>
      </c>
      <c r="B143" s="22">
        <f>TRUNC(A143)</f>
        <v>187</v>
      </c>
      <c r="C143" s="23">
        <f>(A143-B143)*60</f>
        <v>29.675655369278502</v>
      </c>
      <c r="D143" s="38" t="str">
        <f>IF(X141&gt;=0,"N","S")</f>
        <v>N</v>
      </c>
      <c r="E143" s="22">
        <f>ABS(TRUNC(X141))</f>
        <v>46</v>
      </c>
      <c r="F143" s="23">
        <f>ABS(X141-TRUNC(X141))*60</f>
        <v>0.5488053390610048</v>
      </c>
      <c r="M143" s="17">
        <v>41.359</v>
      </c>
      <c r="N143" s="17">
        <v>52.77</v>
      </c>
      <c r="O143" s="14">
        <f>M144+O141/3600*$A$361</f>
        <v>79.17260982286331</v>
      </c>
      <c r="P143" s="14">
        <f>N144+P141/3600*$A$361</f>
        <v>45.9964043908702</v>
      </c>
      <c r="Q143" s="14">
        <f>SIN($F$375)*COS(P144)*COS(O144+$B$375)+COS($F$375)*SIN(P144)</f>
        <v>0.7194639211013694</v>
      </c>
      <c r="R143" s="14" t="s">
        <v>106</v>
      </c>
      <c r="S143" s="8" t="s">
        <v>86</v>
      </c>
      <c r="T143" s="8" t="s">
        <v>89</v>
      </c>
      <c r="U143" s="8" t="s">
        <v>88</v>
      </c>
      <c r="V143" s="8" t="s">
        <v>89</v>
      </c>
      <c r="W143" s="8" t="s">
        <v>97</v>
      </c>
      <c r="X143" s="8"/>
    </row>
    <row r="144" spans="1:23" ht="12.75">
      <c r="A144" s="3"/>
      <c r="B144" s="3"/>
      <c r="C144" s="3"/>
      <c r="D144" s="3"/>
      <c r="E144" s="3"/>
      <c r="F144" s="3"/>
      <c r="M144" s="13">
        <f>(M141+M142/60+M143/3600)*15</f>
        <v>79.17232916666666</v>
      </c>
      <c r="N144" s="13">
        <f>N141+N142/60+N143/3600</f>
        <v>45.99799166666667</v>
      </c>
      <c r="O144">
        <f>RADIANS(O143)</f>
        <v>1.3818227188057692</v>
      </c>
      <c r="P144">
        <f>RADIANS(P143)</f>
        <v>0.8027887006994617</v>
      </c>
      <c r="R144">
        <f>DEGREES(ASIN(Q143))</f>
        <v>46.01023849166111</v>
      </c>
      <c r="S144">
        <f>RADIANS(R144)</f>
        <v>0.803030151307316</v>
      </c>
      <c r="T144">
        <f>SIN($D$367)*COS(S141)*$A$364+SIN(S141)*$A$367</f>
        <v>-2.7713499939348655E-05</v>
      </c>
      <c r="U144" s="15">
        <f>($A$388*U141-U142)*$V$12/COS(S144)</f>
        <v>-0.00013010336189664786</v>
      </c>
      <c r="V144" s="15">
        <f>($A$388*V141-V142)*$V$12</f>
        <v>8.659112000587811E-06</v>
      </c>
      <c r="W144">
        <f>360-W141</f>
        <v>280.58303452282536</v>
      </c>
    </row>
    <row r="145" spans="1:24" ht="12.75">
      <c r="A145" s="3" t="s">
        <v>107</v>
      </c>
      <c r="B145" s="3" t="s">
        <v>107</v>
      </c>
      <c r="C145" s="3" t="s">
        <v>107</v>
      </c>
      <c r="D145" s="3" t="s">
        <v>107</v>
      </c>
      <c r="E145" s="3" t="s">
        <v>107</v>
      </c>
      <c r="F145" s="3" t="s">
        <v>107</v>
      </c>
      <c r="M145" s="3" t="s">
        <v>107</v>
      </c>
      <c r="N145" s="3" t="s">
        <v>155</v>
      </c>
      <c r="O145" s="3" t="s">
        <v>107</v>
      </c>
      <c r="P145" s="3" t="s">
        <v>107</v>
      </c>
      <c r="Q145" s="3" t="s">
        <v>107</v>
      </c>
      <c r="R145" s="3" t="s">
        <v>107</v>
      </c>
      <c r="S145" s="3" t="s">
        <v>107</v>
      </c>
      <c r="T145" s="3" t="s">
        <v>155</v>
      </c>
      <c r="U145" s="3" t="s">
        <v>107</v>
      </c>
      <c r="V145" s="3" t="s">
        <v>107</v>
      </c>
      <c r="W145" s="3" t="s">
        <v>107</v>
      </c>
      <c r="X145" s="3" t="s">
        <v>107</v>
      </c>
    </row>
    <row r="146" spans="1:24" ht="12.75">
      <c r="A146" s="3"/>
      <c r="B146" s="3"/>
      <c r="C146" s="3"/>
      <c r="D146" s="3"/>
      <c r="E146" s="3"/>
      <c r="F146" s="3"/>
      <c r="M146" s="16" t="s">
        <v>71</v>
      </c>
      <c r="N146" s="16" t="s">
        <v>106</v>
      </c>
      <c r="O146" s="16" t="s">
        <v>73</v>
      </c>
      <c r="P146" s="16" t="s">
        <v>74</v>
      </c>
      <c r="Q146" t="s">
        <v>81</v>
      </c>
      <c r="R146" t="s">
        <v>71</v>
      </c>
      <c r="S146" t="s">
        <v>85</v>
      </c>
      <c r="T146" t="s">
        <v>88</v>
      </c>
      <c r="U146" t="s">
        <v>92</v>
      </c>
      <c r="V146" t="s">
        <v>93</v>
      </c>
      <c r="W146" t="s">
        <v>71</v>
      </c>
      <c r="X146" t="s">
        <v>106</v>
      </c>
    </row>
    <row r="147" spans="1:24" ht="12.75">
      <c r="A147" s="30" t="s">
        <v>155</v>
      </c>
      <c r="B147" s="33">
        <v>53</v>
      </c>
      <c r="C147" s="34">
        <v>1.3</v>
      </c>
      <c r="D147" s="6" t="s">
        <v>132</v>
      </c>
      <c r="E147" s="36">
        <f>TRUNC(W150)</f>
        <v>49</v>
      </c>
      <c r="F147" s="37">
        <f>ABS(W150-E147)*60</f>
        <v>31.328891934243757</v>
      </c>
      <c r="M147" s="16">
        <v>20</v>
      </c>
      <c r="N147" s="16">
        <v>45</v>
      </c>
      <c r="O147" s="16">
        <v>0.00156</v>
      </c>
      <c r="P147" s="16">
        <v>0.00155</v>
      </c>
      <c r="Q147">
        <f>COS(P150)*SIN(O150+$B$375)</f>
        <v>-0.5354997475202797</v>
      </c>
      <c r="R147">
        <f>DEGREES(ATAN2(Q148,Q147))+$C$375</f>
        <v>-49.52791138574779</v>
      </c>
      <c r="S147">
        <f>RADIANS(R148)</f>
        <v>5.418760181862299</v>
      </c>
      <c r="T147">
        <f>(COS($D$367)+SIN($D$367)*SIN(S147)*TAN(S150))*$A$364-COS(S147)*TAN(S150)*$A$367</f>
        <v>5.5456473050605305E-05</v>
      </c>
      <c r="U147">
        <f>COS(S147)*COS($D$388)*COS($D$367)+SIN(S147)*SIN($D$388)</f>
        <v>-0.8763824634360107</v>
      </c>
      <c r="V147">
        <f>COS($D$388)*COS($D$367)*(TAN($D$367)*COS(S150)-SIN(S147)*SIN(S150))+COS(S147)*SIN(S150)*SIN($D$388)</f>
        <v>0.2726919504887263</v>
      </c>
      <c r="W147">
        <f>DEGREES(U150+T147+S147)</f>
        <v>310.47785180109594</v>
      </c>
      <c r="X147">
        <f>DEGREES(V150+T150+S150)</f>
        <v>45.32633977343066</v>
      </c>
    </row>
    <row r="148" spans="1:22" ht="12.75">
      <c r="A148" s="3" t="s">
        <v>104</v>
      </c>
      <c r="B148" s="3" t="s">
        <v>105</v>
      </c>
      <c r="C148" s="3" t="s">
        <v>102</v>
      </c>
      <c r="D148" s="3" t="s">
        <v>106</v>
      </c>
      <c r="E148" s="3" t="s">
        <v>105</v>
      </c>
      <c r="F148" s="3" t="s">
        <v>102</v>
      </c>
      <c r="M148" s="16">
        <v>41</v>
      </c>
      <c r="N148" s="16">
        <v>16</v>
      </c>
      <c r="O148" t="s">
        <v>77</v>
      </c>
      <c r="P148" t="s">
        <v>78</v>
      </c>
      <c r="Q148">
        <f>COS($F$375)*COS(P150)*COS(O150+$B$375)-SIN($F$375)*SIN(P150)</f>
        <v>0.4555265027814633</v>
      </c>
      <c r="R148">
        <f>R147-360*INT(R147/360)</f>
        <v>310.4720886142522</v>
      </c>
      <c r="U148">
        <f>COS(S147)*COS($D$383)*COS($D$367)+SIN(S147)*SIN($D$383)</f>
        <v>-0.33394803555036956</v>
      </c>
      <c r="V148">
        <f>COS($D$383)*COS($D$367)*(TAN($D$367)*COS(S150)-SIN(S147)*SIN(S150))+COS(S147)*SIN(S150)*SIN($D$383)</f>
        <v>0.8006394223276879</v>
      </c>
    </row>
    <row r="149" spans="1:24" ht="12.75">
      <c r="A149" s="9">
        <f>($C$370+E147+F147/60)-INT(($C$370+E147+F147/60)/360)*360</f>
        <v>316.4337079322334</v>
      </c>
      <c r="B149" s="22">
        <f>TRUNC(A149)</f>
        <v>316</v>
      </c>
      <c r="C149" s="23">
        <f>(A149-B149)*60</f>
        <v>26.022475934004206</v>
      </c>
      <c r="D149" s="38" t="str">
        <f>IF(X147&gt;=0,"N","S")</f>
        <v>N</v>
      </c>
      <c r="E149" s="22">
        <f>ABS(TRUNC(X147))</f>
        <v>45</v>
      </c>
      <c r="F149" s="23">
        <f>ABS(X147-TRUNC(X147))*60</f>
        <v>19.580386405839647</v>
      </c>
      <c r="M149" s="17">
        <v>25.915</v>
      </c>
      <c r="N149" s="17">
        <v>49.22</v>
      </c>
      <c r="O149" s="14">
        <f>M150+O147/3600*$A$361</f>
        <v>310.3579849641199</v>
      </c>
      <c r="P149" s="14">
        <f>N150+P147/3600*$A$361</f>
        <v>45.280344649178936</v>
      </c>
      <c r="Q149" s="14">
        <f>SIN($F$375)*COS(P150)*COS(O150+$B$375)+COS($F$375)*SIN(P150)</f>
        <v>0.7111509162402915</v>
      </c>
      <c r="R149" s="14" t="s">
        <v>106</v>
      </c>
      <c r="S149" s="8" t="s">
        <v>86</v>
      </c>
      <c r="T149" s="8" t="s">
        <v>89</v>
      </c>
      <c r="U149" s="8" t="s">
        <v>88</v>
      </c>
      <c r="V149" s="8" t="s">
        <v>89</v>
      </c>
      <c r="W149" s="8" t="s">
        <v>97</v>
      </c>
      <c r="X149" s="8"/>
    </row>
    <row r="150" spans="1:23" ht="12.75">
      <c r="A150" s="3"/>
      <c r="B150" s="3"/>
      <c r="C150" s="3"/>
      <c r="D150" s="3"/>
      <c r="E150" s="3"/>
      <c r="F150" s="3"/>
      <c r="M150" s="13">
        <f>(M147+M148/60+M149/3600)*15</f>
        <v>310.35797916666667</v>
      </c>
      <c r="N150" s="13">
        <f>N147+N148/60+N149/3600</f>
        <v>45.280338888888885</v>
      </c>
      <c r="O150">
        <f>RADIANS(O149)</f>
        <v>5.416768697478948</v>
      </c>
      <c r="P150">
        <f>RADIANS(P149)</f>
        <v>0.7902911005659692</v>
      </c>
      <c r="R150">
        <f>DEGREES(ASIN(Q149))</f>
        <v>45.32863435147014</v>
      </c>
      <c r="S150">
        <f>RADIANS(R150)</f>
        <v>0.7911339148657586</v>
      </c>
      <c r="T150">
        <f>SIN($D$367)*COS(S147)*$A$364+SIN(S147)*$A$367</f>
        <v>3.905507682089786E-05</v>
      </c>
      <c r="U150" s="15">
        <f>($A$388*U147-U148)*$V$12/COS(S150)</f>
        <v>4.5130112780190734E-05</v>
      </c>
      <c r="V150" s="15">
        <f>($A$388*V147-V148)*$V$12</f>
        <v>-7.910301855388623E-05</v>
      </c>
      <c r="W150">
        <f>360-W147</f>
        <v>49.52214819890406</v>
      </c>
    </row>
    <row r="151" spans="1:24" ht="12.75">
      <c r="A151" s="3" t="s">
        <v>107</v>
      </c>
      <c r="B151" s="3" t="s">
        <v>107</v>
      </c>
      <c r="C151" s="3" t="s">
        <v>107</v>
      </c>
      <c r="D151" s="3" t="s">
        <v>107</v>
      </c>
      <c r="E151" s="3" t="s">
        <v>107</v>
      </c>
      <c r="F151" s="3" t="s">
        <v>107</v>
      </c>
      <c r="M151" s="3" t="s">
        <v>107</v>
      </c>
      <c r="N151" s="3" t="s">
        <v>156</v>
      </c>
      <c r="O151" s="3" t="s">
        <v>107</v>
      </c>
      <c r="P151" s="3" t="s">
        <v>107</v>
      </c>
      <c r="Q151" s="3" t="s">
        <v>107</v>
      </c>
      <c r="R151" s="3" t="s">
        <v>107</v>
      </c>
      <c r="S151" s="3" t="s">
        <v>107</v>
      </c>
      <c r="T151" s="3" t="s">
        <v>156</v>
      </c>
      <c r="U151" s="3" t="s">
        <v>107</v>
      </c>
      <c r="V151" s="3" t="s">
        <v>107</v>
      </c>
      <c r="W151" s="3" t="s">
        <v>107</v>
      </c>
      <c r="X151" s="3" t="s">
        <v>107</v>
      </c>
    </row>
    <row r="152" spans="1:24" ht="12.75">
      <c r="A152" s="3"/>
      <c r="B152" s="3"/>
      <c r="C152" s="3"/>
      <c r="D152" s="3"/>
      <c r="E152" s="3"/>
      <c r="F152" s="3"/>
      <c r="M152" s="16" t="s">
        <v>71</v>
      </c>
      <c r="N152" s="16" t="s">
        <v>106</v>
      </c>
      <c r="O152" s="16" t="s">
        <v>73</v>
      </c>
      <c r="P152" s="16" t="s">
        <v>74</v>
      </c>
      <c r="Q152" t="s">
        <v>81</v>
      </c>
      <c r="R152" t="s">
        <v>71</v>
      </c>
      <c r="S152" t="s">
        <v>85</v>
      </c>
      <c r="T152" t="s">
        <v>88</v>
      </c>
      <c r="U152" t="s">
        <v>92</v>
      </c>
      <c r="V152" t="s">
        <v>93</v>
      </c>
      <c r="W152" t="s">
        <v>71</v>
      </c>
      <c r="X152" t="s">
        <v>106</v>
      </c>
    </row>
    <row r="153" spans="1:24" ht="12.75">
      <c r="A153" s="30" t="s">
        <v>156</v>
      </c>
      <c r="B153" s="33">
        <v>28</v>
      </c>
      <c r="C153" s="34">
        <v>2.1</v>
      </c>
      <c r="D153" s="6" t="s">
        <v>132</v>
      </c>
      <c r="E153" s="36">
        <f>TRUNC(W156)</f>
        <v>182</v>
      </c>
      <c r="F153" s="37">
        <f>ABS(W156-E153)*60</f>
        <v>33.57124448692673</v>
      </c>
      <c r="M153" s="16">
        <v>11</v>
      </c>
      <c r="N153" s="16">
        <v>14</v>
      </c>
      <c r="O153" s="16">
        <v>-0.49902</v>
      </c>
      <c r="P153" s="16">
        <v>-0.11378</v>
      </c>
      <c r="Q153">
        <f>COS(P156)*SIN(O156+$B$375)</f>
        <v>0.04476843758294364</v>
      </c>
      <c r="R153">
        <f>DEGREES(ATAN2(Q154,Q153))+$C$375</f>
        <v>177.43536659060993</v>
      </c>
      <c r="S153">
        <f>RADIANS(R154)</f>
        <v>3.0968313564892886</v>
      </c>
      <c r="T153">
        <f>(COS($D$367)+SIN($D$367)*SIN(S153)*TAN(S156))*$A$364-COS(S153)*TAN(S156)*$A$367</f>
        <v>4.324376743914979E-05</v>
      </c>
      <c r="U153">
        <f>COS(S153)*COS($D$388)*COS($D$367)+SIN(S153)*SIN($D$388)</f>
        <v>0.252365812814179</v>
      </c>
      <c r="V153">
        <f>COS($D$388)*COS($D$367)*(TAN($D$367)*COS(S156)-SIN(S153)*SIN(S156))+COS(S153)*SIN(S156)*SIN($D$388)</f>
        <v>-0.32888093260343465</v>
      </c>
      <c r="W153">
        <f>DEGREES(U156+T153+S153)</f>
        <v>177.44047925855122</v>
      </c>
      <c r="X153">
        <f>DEGREES(V156+T156+S156)</f>
        <v>14.495934670568676</v>
      </c>
    </row>
    <row r="154" spans="1:22" ht="12.75">
      <c r="A154" s="3" t="s">
        <v>104</v>
      </c>
      <c r="B154" s="3" t="s">
        <v>105</v>
      </c>
      <c r="C154" s="3" t="s">
        <v>102</v>
      </c>
      <c r="D154" s="3" t="s">
        <v>106</v>
      </c>
      <c r="E154" s="3" t="s">
        <v>105</v>
      </c>
      <c r="F154" s="3" t="s">
        <v>102</v>
      </c>
      <c r="M154" s="16">
        <v>49</v>
      </c>
      <c r="N154" s="16">
        <v>34</v>
      </c>
      <c r="O154" t="s">
        <v>77</v>
      </c>
      <c r="P154" t="s">
        <v>78</v>
      </c>
      <c r="Q154">
        <f>COS($F$375)*COS(P156)*COS(O156+$B$375)-SIN($F$375)*SIN(P156)</f>
        <v>-0.9671241112609024</v>
      </c>
      <c r="R154">
        <f>R153-360*INT(R153/360)</f>
        <v>177.43536659060993</v>
      </c>
      <c r="U154">
        <f>COS(S153)*COS($D$383)*COS($D$367)+SIN(S153)*SIN($D$383)</f>
        <v>-0.4438778984207147</v>
      </c>
      <c r="V154">
        <f>COS($D$383)*COS($D$367)*(TAN($D$367)*COS(S156)-SIN(S153)*SIN(S156))+COS(S153)*SIN(S156)*SIN($D$383)</f>
        <v>-0.01566501192399597</v>
      </c>
    </row>
    <row r="155" spans="1:24" ht="12.75">
      <c r="A155" s="9">
        <f>($C$370+E153+F153/60)-INT(($C$370+E153+F153/60)/360)*360</f>
        <v>89.47108047477809</v>
      </c>
      <c r="B155" s="22">
        <f>TRUNC(A155)</f>
        <v>89</v>
      </c>
      <c r="C155" s="23">
        <f>(A155-B155)*60</f>
        <v>28.264828486685474</v>
      </c>
      <c r="D155" s="38" t="str">
        <f>IF(X153&gt;=0,"N","S")</f>
        <v>N</v>
      </c>
      <c r="E155" s="22">
        <f>ABS(TRUNC(X153))</f>
        <v>14</v>
      </c>
      <c r="F155" s="23">
        <f>ABS(X153-TRUNC(X153))*60</f>
        <v>29.756080234120574</v>
      </c>
      <c r="M155" s="17">
        <v>3.578</v>
      </c>
      <c r="N155" s="17">
        <v>19.42</v>
      </c>
      <c r="O155" s="14">
        <f>M156+O153/3600*$A$361</f>
        <v>177.26305381724154</v>
      </c>
      <c r="P155" s="14">
        <f>N156+P153/3600*$A$361</f>
        <v>14.57163826865806</v>
      </c>
      <c r="Q155" s="14">
        <f>SIN($F$375)*COS(P156)*COS(O156+$B$375)+COS($F$375)*SIN(P156)</f>
        <v>0.250333258705654</v>
      </c>
      <c r="R155" s="14" t="s">
        <v>106</v>
      </c>
      <c r="S155" s="8" t="s">
        <v>86</v>
      </c>
      <c r="T155" s="8" t="s">
        <v>89</v>
      </c>
      <c r="U155" s="8" t="s">
        <v>88</v>
      </c>
      <c r="V155" s="8" t="s">
        <v>89</v>
      </c>
      <c r="W155" s="8" t="s">
        <v>97</v>
      </c>
      <c r="X155" s="8"/>
    </row>
    <row r="156" spans="1:23" ht="12.75">
      <c r="A156" s="3"/>
      <c r="B156" s="3"/>
      <c r="C156" s="3"/>
      <c r="D156" s="3"/>
      <c r="E156" s="3"/>
      <c r="F156" s="3"/>
      <c r="M156" s="13">
        <f>(M153+M154/60+M155/3600)*15</f>
        <v>177.26490833333332</v>
      </c>
      <c r="N156" s="13">
        <f>N153+N154/60+N155/3600</f>
        <v>14.572061111111111</v>
      </c>
      <c r="O156">
        <f>RADIANS(O155)</f>
        <v>3.0938239312507676</v>
      </c>
      <c r="P156">
        <f>RADIANS(P155)</f>
        <v>0.25432306519768916</v>
      </c>
      <c r="R156">
        <f>DEGREES(ASIN(Q155))</f>
        <v>14.497233588798832</v>
      </c>
      <c r="S156">
        <f>RADIANS(R156)</f>
        <v>0.25302445855525335</v>
      </c>
      <c r="T156">
        <f>SIN($D$367)*COS(S153)*$A$364+SIN(S153)*$A$367</f>
        <v>-2.3681112775166388E-05</v>
      </c>
      <c r="U156" s="15">
        <f>($A$388*U153-U154)*$V$12/COS(S156)</f>
        <v>4.598912169768738E-05</v>
      </c>
      <c r="V156" s="15">
        <f>($A$388*V153-V154)*$V$12</f>
        <v>1.0107129447814307E-06</v>
      </c>
      <c r="W156">
        <f>360-W153</f>
        <v>182.55952074144878</v>
      </c>
    </row>
    <row r="157" spans="1:24" ht="12.75">
      <c r="A157" s="3" t="s">
        <v>107</v>
      </c>
      <c r="B157" s="3" t="s">
        <v>107</v>
      </c>
      <c r="C157" s="3" t="s">
        <v>107</v>
      </c>
      <c r="D157" s="3" t="s">
        <v>107</v>
      </c>
      <c r="E157" s="3" t="s">
        <v>107</v>
      </c>
      <c r="F157" s="3" t="s">
        <v>107</v>
      </c>
      <c r="M157" s="3" t="s">
        <v>107</v>
      </c>
      <c r="N157" s="3" t="s">
        <v>157</v>
      </c>
      <c r="O157" s="3" t="s">
        <v>107</v>
      </c>
      <c r="P157" s="3" t="s">
        <v>107</v>
      </c>
      <c r="Q157" s="3" t="s">
        <v>107</v>
      </c>
      <c r="R157" s="3" t="s">
        <v>107</v>
      </c>
      <c r="S157" s="3" t="s">
        <v>107</v>
      </c>
      <c r="T157" s="3" t="s">
        <v>157</v>
      </c>
      <c r="U157" s="3" t="s">
        <v>107</v>
      </c>
      <c r="V157" s="3" t="s">
        <v>107</v>
      </c>
      <c r="W157" s="3" t="s">
        <v>107</v>
      </c>
      <c r="X157" s="3" t="s">
        <v>107</v>
      </c>
    </row>
    <row r="158" spans="1:24" ht="12.75">
      <c r="A158" s="3"/>
      <c r="B158" s="3"/>
      <c r="C158" s="3"/>
      <c r="D158" s="3"/>
      <c r="E158" s="3"/>
      <c r="F158" s="3"/>
      <c r="M158" s="16" t="s">
        <v>71</v>
      </c>
      <c r="N158" s="16" t="s">
        <v>106</v>
      </c>
      <c r="O158" s="16" t="s">
        <v>73</v>
      </c>
      <c r="P158" s="16" t="s">
        <v>74</v>
      </c>
      <c r="Q158" t="s">
        <v>81</v>
      </c>
      <c r="R158" t="s">
        <v>71</v>
      </c>
      <c r="S158" t="s">
        <v>85</v>
      </c>
      <c r="T158" t="s">
        <v>88</v>
      </c>
      <c r="U158" t="s">
        <v>92</v>
      </c>
      <c r="V158" t="s">
        <v>93</v>
      </c>
      <c r="W158" t="s">
        <v>71</v>
      </c>
      <c r="X158" t="s">
        <v>106</v>
      </c>
    </row>
    <row r="159" spans="1:24" ht="12.75">
      <c r="A159" s="30" t="s">
        <v>157</v>
      </c>
      <c r="B159" s="33">
        <v>4</v>
      </c>
      <c r="C159" s="34">
        <v>2</v>
      </c>
      <c r="D159" s="6" t="s">
        <v>132</v>
      </c>
      <c r="E159" s="36">
        <f>TRUNC(W162)</f>
        <v>348</v>
      </c>
      <c r="F159" s="37">
        <f>ABS(W162-E159)*60</f>
        <v>56.18816292847782</v>
      </c>
      <c r="M159" s="16">
        <v>0</v>
      </c>
      <c r="N159" s="16">
        <v>-17</v>
      </c>
      <c r="O159" s="16">
        <v>0.23279</v>
      </c>
      <c r="P159" s="16">
        <v>0.03271</v>
      </c>
      <c r="Q159">
        <f>COS(P162)*SIN(O162+$B$375)</f>
        <v>0.1812225304771639</v>
      </c>
      <c r="R159">
        <f>DEGREES(ATAN2(Q160,Q159))+$C$375</f>
        <v>11.065067427583388</v>
      </c>
      <c r="S159">
        <f>RADIANS(R160)</f>
        <v>0.19312185856650935</v>
      </c>
      <c r="T159">
        <f>(COS($D$367)+SIN($D$367)*SIN(S159)*TAN(S162))*$A$364-COS(S159)*TAN(S162)*$A$367</f>
        <v>3.9699076368456034E-05</v>
      </c>
      <c r="U159">
        <f>COS(S159)*COS($D$388)*COS($D$367)+SIN(S159)*SIN($D$388)</f>
        <v>-0.01824208917057893</v>
      </c>
      <c r="V159">
        <f>COS($D$388)*COS($D$367)*(TAN($D$367)*COS(S162)-SIN(S159)*SIN(S162))+COS(S159)*SIN(S162)*SIN($D$388)</f>
        <v>-0.3924695085323677</v>
      </c>
      <c r="W159">
        <f>DEGREES(U162+T159+S159)</f>
        <v>11.063530617858726</v>
      </c>
      <c r="X159">
        <f>DEGREES(V162+T162+S162)</f>
        <v>-17.912338307593064</v>
      </c>
    </row>
    <row r="160" spans="1:22" ht="12.75">
      <c r="A160" s="3" t="s">
        <v>104</v>
      </c>
      <c r="B160" s="3" t="s">
        <v>105</v>
      </c>
      <c r="C160" s="3" t="s">
        <v>102</v>
      </c>
      <c r="D160" s="3" t="s">
        <v>106</v>
      </c>
      <c r="E160" s="3" t="s">
        <v>105</v>
      </c>
      <c r="F160" s="3" t="s">
        <v>102</v>
      </c>
      <c r="M160" s="16">
        <v>43</v>
      </c>
      <c r="N160" s="16">
        <v>-59</v>
      </c>
      <c r="O160" t="s">
        <v>77</v>
      </c>
      <c r="P160" t="s">
        <v>78</v>
      </c>
      <c r="Q160">
        <f>COS($F$375)*COS(P162)*COS(O162+$B$375)-SIN($F$375)*SIN(P162)</f>
        <v>0.9341058962733257</v>
      </c>
      <c r="R160">
        <f>R159-360*INT(R159/360)</f>
        <v>11.065067427583388</v>
      </c>
      <c r="U160">
        <f>COS(S159)*COS($D$383)*COS($D$367)+SIN(S159)*SIN($D$383)</f>
        <v>0.6367066264478405</v>
      </c>
      <c r="V160">
        <f>COS($D$383)*COS($D$367)*(TAN($D$367)*COS(S162)-SIN(S159)*SIN(S162))+COS(S159)*SIN(S162)*SIN($D$383)</f>
        <v>-0.029305069868424377</v>
      </c>
    </row>
    <row r="161" spans="1:24" ht="12.75">
      <c r="A161" s="9">
        <f>($C$370+E159+F159/60)-INT(($C$370+E159+F159/60)/360)*360</f>
        <v>255.84802911547058</v>
      </c>
      <c r="B161" s="22">
        <f>TRUNC(A161)</f>
        <v>255</v>
      </c>
      <c r="C161" s="23">
        <f>(A161-B161)*60</f>
        <v>50.88174692823486</v>
      </c>
      <c r="D161" s="38" t="str">
        <f>IF(X159&gt;=0,"N","S")</f>
        <v>S</v>
      </c>
      <c r="E161" s="22">
        <f>ABS(TRUNC(X159))</f>
        <v>17</v>
      </c>
      <c r="F161" s="23">
        <f>ABS(X159-TRUNC(X159))*60</f>
        <v>54.74029845558384</v>
      </c>
      <c r="M161" s="17">
        <v>35.371</v>
      </c>
      <c r="N161" s="17">
        <v>-11.78</v>
      </c>
      <c r="O161" s="14">
        <f>M162+O159/3600*$A$361</f>
        <v>10.898244287906303</v>
      </c>
      <c r="P161" s="14">
        <f>N162+P159/3600*$A$361</f>
        <v>-17.986483994853856</v>
      </c>
      <c r="Q161" s="14">
        <f>SIN($F$375)*COS(P162)*COS(O162+$B$375)+COS($F$375)*SIN(P162)</f>
        <v>-0.3075785574367305</v>
      </c>
      <c r="R161" s="14" t="s">
        <v>106</v>
      </c>
      <c r="S161" s="8" t="s">
        <v>86</v>
      </c>
      <c r="T161" s="8" t="s">
        <v>89</v>
      </c>
      <c r="U161" s="8" t="s">
        <v>88</v>
      </c>
      <c r="V161" s="8" t="s">
        <v>89</v>
      </c>
      <c r="W161" s="8" t="s">
        <v>97</v>
      </c>
      <c r="X161" s="8"/>
    </row>
    <row r="162" spans="1:23" ht="12.75">
      <c r="A162" s="3"/>
      <c r="B162" s="3"/>
      <c r="C162" s="3"/>
      <c r="D162" s="3"/>
      <c r="E162" s="3"/>
      <c r="F162" s="3"/>
      <c r="M162" s="13">
        <f>(M159+M160/60+M161/3600)*15</f>
        <v>10.897379166666667</v>
      </c>
      <c r="N162" s="13">
        <f>N159+N160/60+N161/3600</f>
        <v>-17.986605555555556</v>
      </c>
      <c r="O162">
        <f>RADIANS(O161)</f>
        <v>0.19021024551062982</v>
      </c>
      <c r="P162">
        <f>RADIANS(P161)</f>
        <v>-0.3139233665674626</v>
      </c>
      <c r="R162">
        <f>DEGREES(ASIN(Q161))</f>
        <v>-17.913363554434607</v>
      </c>
      <c r="S162">
        <f>RADIANS(R162)</f>
        <v>-0.3126471741316384</v>
      </c>
      <c r="T162">
        <f>SIN($D$367)*COS(S159)*$A$364+SIN(S159)*$A$367</f>
        <v>1.5633412260306846E-05</v>
      </c>
      <c r="U162" s="15">
        <f>($A$388*U159-U160)*$V$12/COS(S162)</f>
        <v>-6.652146604049574E-05</v>
      </c>
      <c r="V162" s="15">
        <f>($A$388*V159-V160)*$V$12</f>
        <v>2.2605207703208713E-06</v>
      </c>
      <c r="W162">
        <f>360-W159</f>
        <v>348.9364693821413</v>
      </c>
    </row>
    <row r="163" spans="1:24" ht="12.75">
      <c r="A163" s="3" t="s">
        <v>107</v>
      </c>
      <c r="B163" s="3" t="s">
        <v>107</v>
      </c>
      <c r="C163" s="3" t="s">
        <v>107</v>
      </c>
      <c r="D163" s="3" t="s">
        <v>107</v>
      </c>
      <c r="E163" s="3" t="s">
        <v>107</v>
      </c>
      <c r="F163" s="3" t="s">
        <v>107</v>
      </c>
      <c r="M163" s="3" t="s">
        <v>107</v>
      </c>
      <c r="N163" s="3" t="s">
        <v>158</v>
      </c>
      <c r="O163" s="3" t="s">
        <v>107</v>
      </c>
      <c r="P163" s="3" t="s">
        <v>107</v>
      </c>
      <c r="Q163" s="3" t="s">
        <v>107</v>
      </c>
      <c r="R163" s="3" t="s">
        <v>107</v>
      </c>
      <c r="S163" s="3" t="s">
        <v>107</v>
      </c>
      <c r="T163" s="3" t="s">
        <v>158</v>
      </c>
      <c r="U163" s="3" t="s">
        <v>107</v>
      </c>
      <c r="V163" s="3" t="s">
        <v>107</v>
      </c>
      <c r="W163" s="3" t="s">
        <v>107</v>
      </c>
      <c r="X163" s="3" t="s">
        <v>107</v>
      </c>
    </row>
    <row r="164" spans="1:24" ht="12.75">
      <c r="A164" s="3"/>
      <c r="B164" s="3"/>
      <c r="C164" s="3"/>
      <c r="D164" s="3"/>
      <c r="E164" s="3"/>
      <c r="F164" s="3"/>
      <c r="M164" s="16" t="s">
        <v>71</v>
      </c>
      <c r="N164" s="16" t="s">
        <v>106</v>
      </c>
      <c r="O164" s="16" t="s">
        <v>73</v>
      </c>
      <c r="P164" s="16" t="s">
        <v>74</v>
      </c>
      <c r="Q164" t="s">
        <v>81</v>
      </c>
      <c r="R164" t="s">
        <v>71</v>
      </c>
      <c r="S164" t="s">
        <v>85</v>
      </c>
      <c r="T164" t="s">
        <v>88</v>
      </c>
      <c r="U164" t="s">
        <v>92</v>
      </c>
      <c r="V164" t="s">
        <v>93</v>
      </c>
      <c r="W164" t="s">
        <v>71</v>
      </c>
      <c r="X164" t="s">
        <v>106</v>
      </c>
    </row>
    <row r="165" spans="1:24" ht="12.75">
      <c r="A165" s="30" t="s">
        <v>158</v>
      </c>
      <c r="B165" s="33">
        <v>27</v>
      </c>
      <c r="C165" s="34">
        <v>1.8</v>
      </c>
      <c r="D165" s="6" t="s">
        <v>132</v>
      </c>
      <c r="E165" s="36">
        <f>TRUNC(W168)</f>
        <v>193</v>
      </c>
      <c r="F165" s="37">
        <f>ABS(W168-E165)*60</f>
        <v>51.617674344929014</v>
      </c>
      <c r="M165" s="16">
        <v>11</v>
      </c>
      <c r="N165" s="16">
        <v>61</v>
      </c>
      <c r="O165" s="16">
        <v>-0.13646</v>
      </c>
      <c r="P165" s="16">
        <v>-0.03525</v>
      </c>
      <c r="Q165">
        <f>COS(P168)*SIN(O168+$B$375)</f>
        <v>0.11436552697135222</v>
      </c>
      <c r="R165">
        <f>DEGREES(ATAN2(Q166,Q165))+$C$375</f>
        <v>166.1362736770599</v>
      </c>
      <c r="S165">
        <f>RADIANS(R166)</f>
        <v>2.899624982659082</v>
      </c>
      <c r="T165">
        <f>(COS($D$367)+SIN($D$367)*SIN(S165)*TAN(S168))*$A$364-COS(S165)*TAN(S168)*$A$367</f>
        <v>2.9597696845003218E-06</v>
      </c>
      <c r="U165">
        <f>COS(S165)*COS($D$388)*COS($D$367)+SIN(S165)*SIN($D$388)</f>
        <v>0.4362302662061942</v>
      </c>
      <c r="V165">
        <f>COS($D$388)*COS($D$367)*(TAN($D$367)*COS(S168)-SIN(S165)*SIN(S168))+COS(S165)*SIN(S168)*SIN($D$388)</f>
        <v>-0.8310817325425822</v>
      </c>
      <c r="W165">
        <f>DEGREES(U168+T165+S165)</f>
        <v>166.13970542758452</v>
      </c>
      <c r="X165">
        <f>DEGREES(V168+T168+S168)</f>
        <v>61.68101198359507</v>
      </c>
    </row>
    <row r="166" spans="1:22" ht="12.75">
      <c r="A166" s="3" t="s">
        <v>104</v>
      </c>
      <c r="B166" s="3" t="s">
        <v>105</v>
      </c>
      <c r="C166" s="3" t="s">
        <v>102</v>
      </c>
      <c r="D166" s="3" t="s">
        <v>106</v>
      </c>
      <c r="E166" s="3" t="s">
        <v>105</v>
      </c>
      <c r="F166" s="3" t="s">
        <v>102</v>
      </c>
      <c r="M166" s="16">
        <v>3</v>
      </c>
      <c r="N166" s="16">
        <v>45</v>
      </c>
      <c r="O166" t="s">
        <v>77</v>
      </c>
      <c r="P166" t="s">
        <v>78</v>
      </c>
      <c r="Q166">
        <f>COS($F$375)*COS(P168)*COS(O168+$B$375)-SIN($F$375)*SIN(P168)</f>
        <v>-0.46042562931014575</v>
      </c>
      <c r="R166">
        <f>R165-360*INT(R165/360)</f>
        <v>166.1362736770599</v>
      </c>
      <c r="U166">
        <f>COS(S165)*COS($D$383)*COS($D$367)+SIN(S165)*SIN($D$383)</f>
        <v>-0.2645514801135861</v>
      </c>
      <c r="V166">
        <f>COS($D$383)*COS($D$367)*(TAN($D$367)*COS(S168)-SIN(S165)*SIN(S168))+COS(S165)*SIN(S168)*SIN($D$383)</f>
        <v>-0.7295269502337276</v>
      </c>
    </row>
    <row r="167" spans="1:24" ht="12.75">
      <c r="A167" s="9">
        <f>($C$370+E165+F165/60)-INT(($C$370+E165+F165/60)/360)*360</f>
        <v>100.7718543057448</v>
      </c>
      <c r="B167" s="22">
        <f>TRUNC(A167)</f>
        <v>100</v>
      </c>
      <c r="C167" s="23">
        <f>(A167-B167)*60</f>
        <v>46.31125834468776</v>
      </c>
      <c r="D167" s="38" t="str">
        <f>IF(X165&gt;=0,"N","S")</f>
        <v>N</v>
      </c>
      <c r="E167" s="22">
        <f>ABS(TRUNC(X165))</f>
        <v>61</v>
      </c>
      <c r="F167" s="23">
        <f>ABS(X165-TRUNC(X165))*60</f>
        <v>40.860719015704206</v>
      </c>
      <c r="M167" s="17">
        <v>43.669</v>
      </c>
      <c r="N167" s="17">
        <v>3.72</v>
      </c>
      <c r="O167" s="14">
        <f>M168+O165/3600*$A$361</f>
        <v>165.93144703816304</v>
      </c>
      <c r="P167" s="14">
        <f>N168+P165/3600*$A$361</f>
        <v>61.75090233318858</v>
      </c>
      <c r="Q167" s="14">
        <f>SIN($F$375)*COS(P168)*COS(O168+$B$375)+COS($F$375)*SIN(P168)</f>
        <v>0.8803003840252036</v>
      </c>
      <c r="R167" s="14" t="s">
        <v>106</v>
      </c>
      <c r="S167" s="8" t="s">
        <v>86</v>
      </c>
      <c r="T167" s="8" t="s">
        <v>89</v>
      </c>
      <c r="U167" s="8" t="s">
        <v>88</v>
      </c>
      <c r="V167" s="8" t="s">
        <v>89</v>
      </c>
      <c r="W167" s="8" t="s">
        <v>97</v>
      </c>
      <c r="X167" s="8"/>
    </row>
    <row r="168" spans="1:23" ht="12.75">
      <c r="A168" s="3"/>
      <c r="B168" s="3"/>
      <c r="C168" s="3"/>
      <c r="D168" s="3"/>
      <c r="E168" s="3"/>
      <c r="F168" s="3"/>
      <c r="M168" s="13">
        <f>(M165+M166/60+M167/3600)*15</f>
        <v>165.93195416666669</v>
      </c>
      <c r="N168" s="13">
        <f>N165+N166/60+N167/3600</f>
        <v>61.75103333333333</v>
      </c>
      <c r="O168">
        <f>RADIANS(O167)</f>
        <v>2.896050083414538</v>
      </c>
      <c r="P168">
        <f>RADIANS(P167)</f>
        <v>1.0777565617915892</v>
      </c>
      <c r="R168">
        <f>DEGREES(ASIN(Q167))</f>
        <v>61.678619817364556</v>
      </c>
      <c r="S168">
        <f>RADIANS(R168)</f>
        <v>1.076494993898835</v>
      </c>
      <c r="T168">
        <f>SIN($D$367)*COS(S165)*$A$364+SIN(S165)*$A$367</f>
        <v>-2.9358987578759906E-05</v>
      </c>
      <c r="U168" s="15">
        <f>($A$388*U165-U166)*$V$12/COS(S168)</f>
        <v>5.6935576076651805E-05</v>
      </c>
      <c r="V168" s="15">
        <f>($A$388*V165-V166)*$V$12</f>
        <v>7.111016455629904E-05</v>
      </c>
      <c r="W168">
        <f>360-W165</f>
        <v>193.86029457241548</v>
      </c>
    </row>
    <row r="169" spans="1:24" ht="12.75">
      <c r="A169" s="3" t="s">
        <v>107</v>
      </c>
      <c r="B169" s="3" t="s">
        <v>107</v>
      </c>
      <c r="C169" s="3" t="s">
        <v>107</v>
      </c>
      <c r="D169" s="3" t="s">
        <v>107</v>
      </c>
      <c r="E169" s="3" t="s">
        <v>107</v>
      </c>
      <c r="F169" s="3" t="s">
        <v>107</v>
      </c>
      <c r="M169" s="3" t="s">
        <v>107</v>
      </c>
      <c r="N169" s="3" t="s">
        <v>159</v>
      </c>
      <c r="O169" s="3" t="s">
        <v>107</v>
      </c>
      <c r="P169" s="3" t="s">
        <v>107</v>
      </c>
      <c r="Q169" s="3" t="s">
        <v>107</v>
      </c>
      <c r="R169" s="3" t="s">
        <v>107</v>
      </c>
      <c r="S169" s="3" t="s">
        <v>107</v>
      </c>
      <c r="T169" s="3" t="s">
        <v>159</v>
      </c>
      <c r="U169" s="3" t="s">
        <v>107</v>
      </c>
      <c r="V169" s="3" t="s">
        <v>107</v>
      </c>
      <c r="W169" s="3" t="s">
        <v>107</v>
      </c>
      <c r="X169" s="3" t="s">
        <v>107</v>
      </c>
    </row>
    <row r="170" spans="1:24" ht="12.75">
      <c r="A170" s="3"/>
      <c r="B170" s="3"/>
      <c r="C170" s="3"/>
      <c r="D170" s="3"/>
      <c r="E170" s="3"/>
      <c r="F170" s="3"/>
      <c r="M170" s="16" t="s">
        <v>71</v>
      </c>
      <c r="N170" s="16" t="s">
        <v>106</v>
      </c>
      <c r="O170" s="16" t="s">
        <v>73</v>
      </c>
      <c r="P170" s="16" t="s">
        <v>74</v>
      </c>
      <c r="Q170" t="s">
        <v>81</v>
      </c>
      <c r="R170" t="s">
        <v>71</v>
      </c>
      <c r="S170" t="s">
        <v>85</v>
      </c>
      <c r="T170" t="s">
        <v>88</v>
      </c>
      <c r="U170" t="s">
        <v>92</v>
      </c>
      <c r="V170" t="s">
        <v>93</v>
      </c>
      <c r="W170" t="s">
        <v>71</v>
      </c>
      <c r="X170" t="s">
        <v>106</v>
      </c>
    </row>
    <row r="171" spans="1:24" ht="12.75">
      <c r="A171" s="30" t="s">
        <v>159</v>
      </c>
      <c r="B171" s="33">
        <v>14</v>
      </c>
      <c r="C171" s="34">
        <v>1.7</v>
      </c>
      <c r="D171" s="6" t="s">
        <v>132</v>
      </c>
      <c r="E171" s="36">
        <f>TRUNC(W174)</f>
        <v>278</v>
      </c>
      <c r="F171" s="37">
        <f>ABS(W174-E171)*60</f>
        <v>13.04106247364416</v>
      </c>
      <c r="M171" s="16">
        <v>5</v>
      </c>
      <c r="N171" s="16">
        <v>28</v>
      </c>
      <c r="O171" s="16">
        <v>0.02328</v>
      </c>
      <c r="P171" s="16">
        <v>-0.17422</v>
      </c>
      <c r="Q171">
        <f>COS(P174)*SIN(O174+$B$375)</f>
        <v>0.8686391188739827</v>
      </c>
      <c r="R171">
        <f>DEGREES(ATAN2(Q172,Q171))+$C$375</f>
        <v>81.784680060718</v>
      </c>
      <c r="S171">
        <f>RADIANS(R172)</f>
        <v>1.4274119447496851</v>
      </c>
      <c r="T171">
        <f>(COS($D$367)+SIN($D$367)*SIN(S171)*TAN(S174))*$A$364-COS(S171)*TAN(S174)*$A$367</f>
        <v>6.588318082013714E-05</v>
      </c>
      <c r="U171">
        <f>COS(S171)*COS($D$388)*COS($D$367)+SIN(S171)*SIN($D$388)</f>
        <v>0.9338510220975315</v>
      </c>
      <c r="V171">
        <f>COS($D$388)*COS($D$367)*(TAN($D$367)*COS(S174)-SIN(S171)*SIN(S174))+COS(S171)*SIN(S174)*SIN($D$388)</f>
        <v>0.08618791138373118</v>
      </c>
      <c r="W171">
        <f>DEGREES(U174+T171+S171)</f>
        <v>81.7826489587726</v>
      </c>
      <c r="X171">
        <f>DEGREES(V174+T174+S174)</f>
        <v>28.615863356733534</v>
      </c>
    </row>
    <row r="172" spans="1:22" ht="12.75">
      <c r="A172" s="3" t="s">
        <v>104</v>
      </c>
      <c r="B172" s="3" t="s">
        <v>105</v>
      </c>
      <c r="C172" s="3" t="s">
        <v>102</v>
      </c>
      <c r="D172" s="3" t="s">
        <v>106</v>
      </c>
      <c r="E172" s="3" t="s">
        <v>105</v>
      </c>
      <c r="F172" s="3" t="s">
        <v>102</v>
      </c>
      <c r="M172" s="16">
        <v>26</v>
      </c>
      <c r="N172" s="16">
        <v>36</v>
      </c>
      <c r="O172" t="s">
        <v>77</v>
      </c>
      <c r="P172" t="s">
        <v>78</v>
      </c>
      <c r="Q172">
        <f>COS($F$375)*COS(P174)*COS(O174+$B$375)-SIN($F$375)*SIN(P174)</f>
        <v>0.12673671793453317</v>
      </c>
      <c r="R172">
        <f>R171-360*INT(R171/360)</f>
        <v>81.784680060718</v>
      </c>
      <c r="U172">
        <f>COS(S171)*COS($D$383)*COS($D$367)+SIN(S171)*SIN($D$383)</f>
        <v>0.910816053376708</v>
      </c>
      <c r="V172">
        <f>COS($D$383)*COS($D$367)*(TAN($D$367)*COS(S174)-SIN(S171)*SIN(S174))+COS(S171)*SIN(S174)*SIN($D$383)</f>
        <v>0.013098486129478802</v>
      </c>
    </row>
    <row r="173" spans="1:24" ht="12.75">
      <c r="A173" s="9">
        <f>($C$370+E171+F171/60)-INT(($C$370+E171+F171/60)/360)*360</f>
        <v>185.12891077455674</v>
      </c>
      <c r="B173" s="22">
        <f>TRUNC(A173)</f>
        <v>185</v>
      </c>
      <c r="C173" s="23">
        <f>(A173-B173)*60</f>
        <v>7.734646473404609</v>
      </c>
      <c r="D173" s="38" t="str">
        <f>IF(X171&gt;=0,"N","S")</f>
        <v>N</v>
      </c>
      <c r="E173" s="22">
        <f>ABS(TRUNC(X171))</f>
        <v>28</v>
      </c>
      <c r="F173" s="23">
        <f>ABS(X171-TRUNC(X171))*60</f>
        <v>36.95180140401206</v>
      </c>
      <c r="M173" s="17">
        <v>17.513</v>
      </c>
      <c r="N173" s="17">
        <v>26.82</v>
      </c>
      <c r="O173" s="14">
        <f>M174+O171/3600*$A$361</f>
        <v>81.57305734917361</v>
      </c>
      <c r="P173" s="14">
        <f>N174+P171/3600*$A$361</f>
        <v>28.606802543398043</v>
      </c>
      <c r="Q173" s="14">
        <f>SIN($F$375)*COS(P174)*COS(O174+$B$375)+COS($F$375)*SIN(P174)</f>
        <v>0.4789612567724173</v>
      </c>
      <c r="R173" s="14" t="s">
        <v>106</v>
      </c>
      <c r="S173" s="8" t="s">
        <v>86</v>
      </c>
      <c r="T173" s="8" t="s">
        <v>89</v>
      </c>
      <c r="U173" s="8" t="s">
        <v>88</v>
      </c>
      <c r="V173" s="8" t="s">
        <v>89</v>
      </c>
      <c r="W173" s="8" t="s">
        <v>97</v>
      </c>
      <c r="X173" s="8"/>
    </row>
    <row r="174" spans="1:23" ht="12.75">
      <c r="A174" s="3"/>
      <c r="B174" s="3"/>
      <c r="C174" s="3"/>
      <c r="D174" s="3"/>
      <c r="E174" s="3"/>
      <c r="F174" s="3"/>
      <c r="M174" s="13">
        <f>(M171+M172/60+M173/3600)*15</f>
        <v>81.57297083333333</v>
      </c>
      <c r="N174" s="13">
        <f>N171+N172/60+N173/3600</f>
        <v>28.60745</v>
      </c>
      <c r="O174">
        <f>RADIANS(O173)</f>
        <v>1.4237184316612372</v>
      </c>
      <c r="P174">
        <f>RADIANS(P173)</f>
        <v>0.4992828928501839</v>
      </c>
      <c r="R174">
        <f>DEGREES(ASIN(Q173))</f>
        <v>28.617582012502197</v>
      </c>
      <c r="S174">
        <f>RADIANS(R174)</f>
        <v>0.4994710300776684</v>
      </c>
      <c r="T174">
        <f>SIN($D$367)*COS(S171)*$A$364+SIN(S171)*$A$367</f>
        <v>-2.8837715397135657E-05</v>
      </c>
      <c r="U174" s="15">
        <f>($A$388*U171-U172)*$V$12/COS(S174)</f>
        <v>-0.0001013325972110708</v>
      </c>
      <c r="V174" s="15">
        <f>($A$388*V171-V172)*$V$12</f>
        <v>-1.158486474427712E-06</v>
      </c>
      <c r="W174">
        <f>360-W171</f>
        <v>278.2173510412274</v>
      </c>
    </row>
    <row r="175" spans="1:24" ht="12.75">
      <c r="A175" s="3" t="s">
        <v>107</v>
      </c>
      <c r="B175" s="3" t="s">
        <v>107</v>
      </c>
      <c r="C175" s="3" t="s">
        <v>107</v>
      </c>
      <c r="D175" s="3" t="s">
        <v>107</v>
      </c>
      <c r="E175" s="3" t="s">
        <v>107</v>
      </c>
      <c r="F175" s="3" t="s">
        <v>107</v>
      </c>
      <c r="M175" s="3" t="s">
        <v>107</v>
      </c>
      <c r="N175" s="3" t="s">
        <v>160</v>
      </c>
      <c r="O175" s="3" t="s">
        <v>107</v>
      </c>
      <c r="P175" s="3" t="s">
        <v>107</v>
      </c>
      <c r="Q175" s="3" t="s">
        <v>107</v>
      </c>
      <c r="R175" s="3" t="s">
        <v>107</v>
      </c>
      <c r="S175" s="3" t="s">
        <v>107</v>
      </c>
      <c r="T175" s="3" t="s">
        <v>160</v>
      </c>
      <c r="U175" s="3" t="s">
        <v>107</v>
      </c>
      <c r="V175" s="3" t="s">
        <v>107</v>
      </c>
      <c r="W175" s="3" t="s">
        <v>107</v>
      </c>
      <c r="X175" s="3" t="s">
        <v>107</v>
      </c>
    </row>
    <row r="176" spans="1:24" ht="12.75">
      <c r="A176" s="3"/>
      <c r="B176" s="3"/>
      <c r="C176" s="3"/>
      <c r="D176" s="3"/>
      <c r="E176" s="3"/>
      <c r="F176" s="3"/>
      <c r="M176" s="16" t="s">
        <v>71</v>
      </c>
      <c r="N176" s="16" t="s">
        <v>106</v>
      </c>
      <c r="O176" s="16" t="s">
        <v>73</v>
      </c>
      <c r="P176" s="16" t="s">
        <v>74</v>
      </c>
      <c r="Q176" t="s">
        <v>81</v>
      </c>
      <c r="R176" t="s">
        <v>71</v>
      </c>
      <c r="S176" t="s">
        <v>85</v>
      </c>
      <c r="T176" t="s">
        <v>88</v>
      </c>
      <c r="U176" t="s">
        <v>92</v>
      </c>
      <c r="V176" t="s">
        <v>93</v>
      </c>
      <c r="W176" t="s">
        <v>71</v>
      </c>
      <c r="X176" t="s">
        <v>106</v>
      </c>
    </row>
    <row r="177" spans="1:24" ht="12.75">
      <c r="A177" s="30" t="s">
        <v>160</v>
      </c>
      <c r="B177" s="33">
        <v>47</v>
      </c>
      <c r="C177" s="34">
        <v>2.2</v>
      </c>
      <c r="D177" s="6" t="s">
        <v>132</v>
      </c>
      <c r="E177" s="36">
        <f>TRUNC(W180)</f>
        <v>90</v>
      </c>
      <c r="F177" s="37">
        <f>ABS(W180-E177)*60</f>
        <v>45.699945564500695</v>
      </c>
      <c r="M177" s="16">
        <v>17</v>
      </c>
      <c r="N177" s="16">
        <v>51</v>
      </c>
      <c r="O177" s="16">
        <v>-0.00852</v>
      </c>
      <c r="P177" s="16">
        <v>-0.02305</v>
      </c>
      <c r="Q177">
        <f>COS(P180)*SIN(O180+$B$375)</f>
        <v>-0.6226123073701971</v>
      </c>
      <c r="R177">
        <f>DEGREES(ATAN2(Q178,Q177))+$C$375</f>
        <v>-90.77066139949393</v>
      </c>
      <c r="S177">
        <f>RADIANS(R178)</f>
        <v>4.698938401545494</v>
      </c>
      <c r="T177">
        <f>(COS($D$367)+SIN($D$367)*SIN(S177)*TAN(S180))*$A$364-COS(S177)*TAN(S180)*$A$367</f>
        <v>2.2831052406501582E-05</v>
      </c>
      <c r="U177">
        <f>COS(S177)*COS($D$388)*COS($D$367)+SIN(S177)*SIN($D$388)</f>
        <v>-0.9708094344175788</v>
      </c>
      <c r="V177">
        <f>COS($D$388)*COS($D$367)*(TAN($D$367)*COS(S180)-SIN(S177)*SIN(S180))+COS(S177)*SIN(S180)*SIN($D$388)</f>
        <v>-0.23018887079060413</v>
      </c>
      <c r="W177">
        <f>DEGREES(U180+T177+S177)</f>
        <v>269.23833424059166</v>
      </c>
      <c r="X177">
        <f>DEGREES(V180+T180+S180)</f>
        <v>51.486731402544656</v>
      </c>
    </row>
    <row r="178" spans="1:22" ht="12.75">
      <c r="A178" s="3" t="s">
        <v>104</v>
      </c>
      <c r="B178" s="3" t="s">
        <v>105</v>
      </c>
      <c r="C178" s="3" t="s">
        <v>102</v>
      </c>
      <c r="D178" s="3" t="s">
        <v>106</v>
      </c>
      <c r="E178" s="3" t="s">
        <v>105</v>
      </c>
      <c r="F178" s="3" t="s">
        <v>102</v>
      </c>
      <c r="M178" s="16">
        <v>56</v>
      </c>
      <c r="N178" s="16">
        <v>29</v>
      </c>
      <c r="O178" t="s">
        <v>77</v>
      </c>
      <c r="P178" t="s">
        <v>78</v>
      </c>
      <c r="Q178">
        <f>COS($F$375)*COS(P180)*COS(O180+$B$375)-SIN($F$375)*SIN(P180)</f>
        <v>-0.009306587903819337</v>
      </c>
      <c r="R178">
        <f>R177-360*INT(R177/360)</f>
        <v>269.2293386005061</v>
      </c>
      <c r="U178">
        <f>COS(S177)*COS($D$383)*COS($D$367)+SIN(S177)*SIN($D$383)</f>
        <v>-0.8570215687234528</v>
      </c>
      <c r="V178">
        <f>COS($D$383)*COS($D$367)*(TAN($D$367)*COS(S180)-SIN(S177)*SIN(S180))+COS(S177)*SIN(S180)*SIN($D$383)</f>
        <v>0.4987126904237919</v>
      </c>
    </row>
    <row r="179" spans="1:24" ht="12.75">
      <c r="A179" s="9">
        <f>($C$370+E177+F177/60)-INT(($C$370+E177+F177/60)/360)*360</f>
        <v>357.6732254927377</v>
      </c>
      <c r="B179" s="22">
        <f>TRUNC(A179)</f>
        <v>357</v>
      </c>
      <c r="C179" s="23">
        <f>(A179-B179)*60</f>
        <v>40.393529564261144</v>
      </c>
      <c r="D179" s="38" t="str">
        <f>IF(X177&gt;=0,"N","S")</f>
        <v>N</v>
      </c>
      <c r="E179" s="22">
        <f>ABS(TRUNC(X177))</f>
        <v>51</v>
      </c>
      <c r="F179" s="23">
        <f>ABS(X177-TRUNC(X177))*60</f>
        <v>29.203884152679365</v>
      </c>
      <c r="M179" s="17">
        <v>36.37</v>
      </c>
      <c r="N179" s="17">
        <v>20.02</v>
      </c>
      <c r="O179" s="14">
        <f>M180+O177/3600*$A$361</f>
        <v>269.15151000365296</v>
      </c>
      <c r="P179" s="14">
        <f>N180+P177/3600*$A$361</f>
        <v>51.48880878335689</v>
      </c>
      <c r="Q179" s="14">
        <f>SIN($F$375)*COS(P180)*COS(O180+$B$375)+COS($F$375)*SIN(P180)</f>
        <v>0.7824751127880987</v>
      </c>
      <c r="R179" s="14" t="s">
        <v>106</v>
      </c>
      <c r="S179" s="8" t="s">
        <v>86</v>
      </c>
      <c r="T179" s="8" t="s">
        <v>89</v>
      </c>
      <c r="U179" s="8" t="s">
        <v>88</v>
      </c>
      <c r="V179" s="8" t="s">
        <v>89</v>
      </c>
      <c r="W179" s="8" t="s">
        <v>97</v>
      </c>
      <c r="X179" s="8"/>
    </row>
    <row r="180" spans="1:23" ht="12.75">
      <c r="A180" s="3"/>
      <c r="B180" s="3"/>
      <c r="C180" s="3"/>
      <c r="D180" s="3"/>
      <c r="E180" s="3"/>
      <c r="F180" s="3"/>
      <c r="M180" s="13">
        <f>(M177+M178/60+M179/3600)*15</f>
        <v>269.1515416666667</v>
      </c>
      <c r="N180" s="13">
        <f>N177+N178/60+N179/3600</f>
        <v>51.48889444444445</v>
      </c>
      <c r="O180">
        <f>RADIANS(O179)</f>
        <v>4.697580036278199</v>
      </c>
      <c r="P180">
        <f>RADIANS(P179)</f>
        <v>0.8986492411993534</v>
      </c>
      <c r="R180">
        <f>DEGREES(ASIN(Q179))</f>
        <v>51.487756368781056</v>
      </c>
      <c r="S180">
        <f>RADIANS(R180)</f>
        <v>0.8986308730999092</v>
      </c>
      <c r="T180">
        <f>SIN($D$367)*COS(S177)*$A$364+SIN(S177)*$A$367</f>
        <v>3.2047636812452685E-05</v>
      </c>
      <c r="U180" s="15">
        <f>($A$388*U177-U178)*$V$12/COS(S180)</f>
        <v>0.0001341724854112048</v>
      </c>
      <c r="V180" s="15">
        <f>($A$388*V177-V178)*$V$12</f>
        <v>-4.993667235942173E-05</v>
      </c>
      <c r="W180">
        <f>360-W177</f>
        <v>90.76166575940834</v>
      </c>
    </row>
    <row r="181" spans="1:24" ht="12.75">
      <c r="A181" s="3" t="s">
        <v>107</v>
      </c>
      <c r="B181" s="3" t="s">
        <v>107</v>
      </c>
      <c r="C181" s="3" t="s">
        <v>107</v>
      </c>
      <c r="D181" s="3" t="s">
        <v>107</v>
      </c>
      <c r="E181" s="3" t="s">
        <v>107</v>
      </c>
      <c r="F181" s="3" t="s">
        <v>107</v>
      </c>
      <c r="M181" s="3" t="s">
        <v>107</v>
      </c>
      <c r="N181" s="3" t="s">
        <v>161</v>
      </c>
      <c r="O181" s="3" t="s">
        <v>107</v>
      </c>
      <c r="P181" s="3" t="s">
        <v>107</v>
      </c>
      <c r="Q181" s="3" t="s">
        <v>107</v>
      </c>
      <c r="R181" s="3" t="s">
        <v>107</v>
      </c>
      <c r="S181" s="3" t="s">
        <v>107</v>
      </c>
      <c r="T181" s="3" t="s">
        <v>161</v>
      </c>
      <c r="U181" s="3" t="s">
        <v>107</v>
      </c>
      <c r="V181" s="3" t="s">
        <v>107</v>
      </c>
      <c r="W181" s="3" t="s">
        <v>107</v>
      </c>
      <c r="X181" s="3" t="s">
        <v>107</v>
      </c>
    </row>
    <row r="182" spans="1:24" ht="12.75">
      <c r="A182" s="3"/>
      <c r="B182" s="3"/>
      <c r="C182" s="3"/>
      <c r="D182" s="3"/>
      <c r="E182" s="3"/>
      <c r="F182" s="3"/>
      <c r="M182" s="16" t="s">
        <v>71</v>
      </c>
      <c r="N182" s="16" t="s">
        <v>106</v>
      </c>
      <c r="O182" s="16" t="s">
        <v>73</v>
      </c>
      <c r="P182" s="16" t="s">
        <v>74</v>
      </c>
      <c r="Q182" t="s">
        <v>81</v>
      </c>
      <c r="R182" t="s">
        <v>71</v>
      </c>
      <c r="S182" t="s">
        <v>85</v>
      </c>
      <c r="T182" t="s">
        <v>88</v>
      </c>
      <c r="U182" t="s">
        <v>92</v>
      </c>
      <c r="V182" t="s">
        <v>93</v>
      </c>
      <c r="W182" t="s">
        <v>71</v>
      </c>
      <c r="X182" t="s">
        <v>106</v>
      </c>
    </row>
    <row r="183" spans="1:24" ht="12.75">
      <c r="A183" s="30" t="s">
        <v>161</v>
      </c>
      <c r="B183" s="33">
        <v>54</v>
      </c>
      <c r="C183" s="34">
        <v>2.4</v>
      </c>
      <c r="D183" s="6" t="s">
        <v>132</v>
      </c>
      <c r="E183" s="36">
        <f>TRUNC(W186)</f>
        <v>33</v>
      </c>
      <c r="F183" s="37">
        <f>ABS(W186-E183)*60</f>
        <v>47.14748666251239</v>
      </c>
      <c r="M183" s="16">
        <v>21</v>
      </c>
      <c r="N183" s="16">
        <v>9</v>
      </c>
      <c r="O183" s="16">
        <v>0.03002</v>
      </c>
      <c r="P183" s="16">
        <v>0.00138</v>
      </c>
      <c r="Q183">
        <f>COS(P186)*SIN(O186+$B$375)</f>
        <v>-0.5490204445945556</v>
      </c>
      <c r="R183">
        <f>DEGREES(ATAN2(Q184,Q183))+$C$375</f>
        <v>-33.78922658755652</v>
      </c>
      <c r="S183">
        <f>RADIANS(R184)</f>
        <v>5.693452051524317</v>
      </c>
      <c r="T183">
        <f>(COS($D$367)+SIN($D$367)*SIN(S183)*TAN(S186))*$A$364-COS(S183)*TAN(S186)*$A$367</f>
        <v>5.388420159712364E-05</v>
      </c>
      <c r="U183">
        <f>COS(S183)*COS($D$388)*COS($D$367)+SIN(S183)*SIN($D$388)</f>
        <v>-0.7152196840824203</v>
      </c>
      <c r="V183">
        <f>COS($D$388)*COS($D$367)*(TAN($D$367)*COS(S186)-SIN(S183)*SIN(S186))+COS(S183)*SIN(S186)*SIN($D$388)</f>
        <v>0.030346305237506657</v>
      </c>
      <c r="W183">
        <f>DEGREES(U186+T183+S183)</f>
        <v>326.2142085556248</v>
      </c>
      <c r="X183">
        <f>DEGREES(V186+T186+S186)</f>
        <v>9.93682266215896</v>
      </c>
    </row>
    <row r="184" spans="1:22" ht="12.75">
      <c r="A184" s="3" t="s">
        <v>104</v>
      </c>
      <c r="B184" s="3" t="s">
        <v>105</v>
      </c>
      <c r="C184" s="3" t="s">
        <v>102</v>
      </c>
      <c r="D184" s="3" t="s">
        <v>106</v>
      </c>
      <c r="E184" s="3" t="s">
        <v>105</v>
      </c>
      <c r="F184" s="3" t="s">
        <v>102</v>
      </c>
      <c r="M184" s="16">
        <v>44</v>
      </c>
      <c r="N184" s="16">
        <v>52</v>
      </c>
      <c r="O184" t="s">
        <v>77</v>
      </c>
      <c r="P184" t="s">
        <v>78</v>
      </c>
      <c r="Q184">
        <f>COS($F$375)*COS(P186)*COS(O186+$B$375)-SIN($F$375)*SIN(P186)</f>
        <v>0.8178010925195487</v>
      </c>
      <c r="R184">
        <f>R183-360*INT(R183/360)</f>
        <v>326.2107734124435</v>
      </c>
      <c r="U184">
        <f>COS(S183)*COS($D$383)*COS($D$367)+SIN(S183)*SIN($D$383)</f>
        <v>-0.0721213081933143</v>
      </c>
      <c r="V184">
        <f>COS($D$383)*COS($D$367)*(TAN($D$367)*COS(S186)-SIN(S183)*SIN(S186))+COS(S183)*SIN(S186)*SIN($D$383)</f>
        <v>0.3742707112841801</v>
      </c>
    </row>
    <row r="185" spans="1:24" ht="12.75">
      <c r="A185" s="9">
        <f>($C$370+E183+F183/60)-INT(($C$370+E183+F183/60)/360)*360</f>
        <v>300.69735117770455</v>
      </c>
      <c r="B185" s="22">
        <f>TRUNC(A185)</f>
        <v>300</v>
      </c>
      <c r="C185" s="23">
        <f>(A185-B185)*60</f>
        <v>41.84107066227284</v>
      </c>
      <c r="D185" s="38" t="str">
        <f>IF(X183&gt;=0,"N","S")</f>
        <v>N</v>
      </c>
      <c r="E185" s="22">
        <f>ABS(TRUNC(X183))</f>
        <v>9</v>
      </c>
      <c r="F185" s="23">
        <f>ABS(X183-TRUNC(X183))*60</f>
        <v>56.209359729537596</v>
      </c>
      <c r="M185" s="17">
        <v>11.158</v>
      </c>
      <c r="N185" s="17">
        <v>30.04</v>
      </c>
      <c r="O185" s="14">
        <f>M186+O183/3600*$A$361</f>
        <v>326.0466032304779</v>
      </c>
      <c r="P185" s="14">
        <f>N186+P183/3600*$A$361</f>
        <v>9.875016239627417</v>
      </c>
      <c r="Q185" s="14">
        <f>SIN($F$375)*COS(P186)*COS(O186+$B$375)+COS($F$375)*SIN(P186)</f>
        <v>0.17256281317546135</v>
      </c>
      <c r="R185" s="14" t="s">
        <v>106</v>
      </c>
      <c r="S185" s="8" t="s">
        <v>86</v>
      </c>
      <c r="T185" s="8" t="s">
        <v>89</v>
      </c>
      <c r="U185" s="8" t="s">
        <v>88</v>
      </c>
      <c r="V185" s="8" t="s">
        <v>89</v>
      </c>
      <c r="W185" s="8" t="s">
        <v>97</v>
      </c>
      <c r="X185" s="8"/>
    </row>
    <row r="186" spans="1:23" ht="12.75">
      <c r="A186" s="3"/>
      <c r="B186" s="3"/>
      <c r="C186" s="3"/>
      <c r="D186" s="3"/>
      <c r="E186" s="3"/>
      <c r="F186" s="3"/>
      <c r="M186" s="13">
        <f>(M183+M184/60+M185/3600)*15</f>
        <v>326.04649166666667</v>
      </c>
      <c r="N186" s="13">
        <f>N183+N184/60+N185/3600</f>
        <v>9.875011111111112</v>
      </c>
      <c r="O186">
        <f>RADIANS(O185)</f>
        <v>5.690586741315419</v>
      </c>
      <c r="P186">
        <f>RADIANS(P185)</f>
        <v>0.17235154706940778</v>
      </c>
      <c r="R186">
        <f>DEGREES(ASIN(Q185))</f>
        <v>9.936859985374483</v>
      </c>
      <c r="S186">
        <f>RADIANS(R186)</f>
        <v>0.1734309240544603</v>
      </c>
      <c r="T186">
        <f>SIN($D$367)*COS(S183)*$A$364+SIN(S183)*$A$367</f>
        <v>3.648766239714058E-05</v>
      </c>
      <c r="U186" s="15">
        <f>($A$388*U183-U184)*$V$12/COS(S186)</f>
        <v>6.0703571946546835E-06</v>
      </c>
      <c r="V186" s="15">
        <f>($A$388*V183-V184)*$V$12</f>
        <v>-3.7139075395458585E-05</v>
      </c>
      <c r="W186">
        <f>360-W183</f>
        <v>33.78579144437521</v>
      </c>
    </row>
    <row r="187" spans="1:24" ht="12.75">
      <c r="A187" s="3" t="s">
        <v>107</v>
      </c>
      <c r="B187" s="3" t="s">
        <v>107</v>
      </c>
      <c r="C187" s="3" t="s">
        <v>107</v>
      </c>
      <c r="D187" s="3" t="s">
        <v>107</v>
      </c>
      <c r="E187" s="3" t="s">
        <v>107</v>
      </c>
      <c r="F187" s="3" t="s">
        <v>107</v>
      </c>
      <c r="M187" s="3" t="s">
        <v>107</v>
      </c>
      <c r="N187" s="3" t="s">
        <v>162</v>
      </c>
      <c r="O187" s="3" t="s">
        <v>107</v>
      </c>
      <c r="P187" s="3" t="s">
        <v>107</v>
      </c>
      <c r="Q187" s="3" t="s">
        <v>107</v>
      </c>
      <c r="R187" s="3" t="s">
        <v>107</v>
      </c>
      <c r="S187" s="3" t="s">
        <v>107</v>
      </c>
      <c r="T187" s="3" t="s">
        <v>162</v>
      </c>
      <c r="U187" s="3" t="s">
        <v>107</v>
      </c>
      <c r="V187" s="3" t="s">
        <v>107</v>
      </c>
      <c r="W187" s="3" t="s">
        <v>107</v>
      </c>
      <c r="X187" s="3" t="s">
        <v>107</v>
      </c>
    </row>
    <row r="188" spans="1:24" ht="12.75">
      <c r="A188" s="3"/>
      <c r="B188" s="3"/>
      <c r="C188" s="3"/>
      <c r="D188" s="3"/>
      <c r="E188" s="3"/>
      <c r="F188" s="3"/>
      <c r="M188" s="16" t="s">
        <v>71</v>
      </c>
      <c r="N188" s="16" t="s">
        <v>106</v>
      </c>
      <c r="O188" s="16" t="s">
        <v>73</v>
      </c>
      <c r="P188" s="16" t="s">
        <v>74</v>
      </c>
      <c r="Q188" t="s">
        <v>81</v>
      </c>
      <c r="R188" t="s">
        <v>71</v>
      </c>
      <c r="S188" t="s">
        <v>85</v>
      </c>
      <c r="T188" t="s">
        <v>88</v>
      </c>
      <c r="U188" t="s">
        <v>92</v>
      </c>
      <c r="V188" t="s">
        <v>93</v>
      </c>
      <c r="W188" t="s">
        <v>71</v>
      </c>
      <c r="X188" t="s">
        <v>106</v>
      </c>
    </row>
    <row r="189" spans="1:24" ht="12.75">
      <c r="A189" s="30" t="s">
        <v>162</v>
      </c>
      <c r="B189" s="33">
        <v>56</v>
      </c>
      <c r="C189" s="34">
        <v>1.2</v>
      </c>
      <c r="D189" s="6" t="s">
        <v>132</v>
      </c>
      <c r="E189" s="36">
        <f>TRUNC(W192)</f>
        <v>15</v>
      </c>
      <c r="F189" s="37">
        <f>ABS(W192-E189)*60</f>
        <v>24.171476981777005</v>
      </c>
      <c r="M189" s="16">
        <v>22</v>
      </c>
      <c r="N189" s="16">
        <v>-29</v>
      </c>
      <c r="O189" s="16">
        <v>0.32922</v>
      </c>
      <c r="P189" s="16">
        <v>-0.16421</v>
      </c>
      <c r="Q189">
        <f>COS(P192)*SIN(O192+$B$375)</f>
        <v>-0.2323152107809322</v>
      </c>
      <c r="R189">
        <f>DEGREES(ATAN2(Q190,Q189))+$C$375</f>
        <v>-15.403363082878196</v>
      </c>
      <c r="S189">
        <f>RADIANS(R190)</f>
        <v>6.014345905503218</v>
      </c>
      <c r="T189">
        <f>(COS($D$367)+SIN($D$367)*SIN(S189)*TAN(S192))*$A$364-COS(S189)*TAN(S192)*$A$367</f>
        <v>3.7011994781219484E-05</v>
      </c>
      <c r="U189">
        <f>COS(S189)*COS($D$388)*COS($D$367)+SIN(S189)*SIN($D$388)</f>
        <v>-0.46012713433300634</v>
      </c>
      <c r="V189">
        <f>COS($D$388)*COS($D$367)*(TAN($D$367)*COS(S192)-SIN(S189)*SIN(S192))+COS(S189)*SIN(S192)*SIN($D$388)</f>
        <v>-0.5144163769266583</v>
      </c>
      <c r="W189">
        <f>DEGREES(U192+T189+S189)</f>
        <v>344.5971420503037</v>
      </c>
      <c r="X189">
        <f>DEGREES(V192+T192+S192)</f>
        <v>-29.54776962875134</v>
      </c>
    </row>
    <row r="190" spans="1:22" ht="12.75">
      <c r="A190" s="3" t="s">
        <v>104</v>
      </c>
      <c r="B190" s="3" t="s">
        <v>105</v>
      </c>
      <c r="C190" s="3" t="s">
        <v>102</v>
      </c>
      <c r="D190" s="3" t="s">
        <v>106</v>
      </c>
      <c r="E190" s="3" t="s">
        <v>105</v>
      </c>
      <c r="F190" s="3" t="s">
        <v>102</v>
      </c>
      <c r="M190" s="16">
        <v>57</v>
      </c>
      <c r="N190" s="16">
        <v>-37</v>
      </c>
      <c r="O190" t="s">
        <v>77</v>
      </c>
      <c r="P190" t="s">
        <v>78</v>
      </c>
      <c r="Q190">
        <f>COS($F$375)*COS(P192)*COS(O192+$B$375)-SIN($F$375)*SIN(P192)</f>
        <v>0.8383222873974149</v>
      </c>
      <c r="R190">
        <f>R189-360*INT(R189/360)</f>
        <v>344.5966369171218</v>
      </c>
      <c r="U190">
        <f>COS(S189)*COS($D$383)*COS($D$367)+SIN(S189)*SIN($D$383)</f>
        <v>0.23916129139498446</v>
      </c>
      <c r="V190">
        <f>COS($D$383)*COS($D$367)*(TAN($D$367)*COS(S192)-SIN(S189)*SIN(S192))+COS(S189)*SIN(S192)*SIN($D$383)</f>
        <v>-0.28573129458995106</v>
      </c>
    </row>
    <row r="191" spans="1:24" ht="12.75">
      <c r="A191" s="9">
        <f>($C$370+E189+F189/60)-INT(($C$370+E189+F189/60)/360)*360</f>
        <v>282.3144176830256</v>
      </c>
      <c r="B191" s="22">
        <f>TRUNC(A191)</f>
        <v>282</v>
      </c>
      <c r="C191" s="23">
        <f>(A191-B191)*60</f>
        <v>18.865060981537454</v>
      </c>
      <c r="D191" s="38" t="str">
        <f>IF(X189&gt;=0,"N","S")</f>
        <v>S</v>
      </c>
      <c r="E191" s="22">
        <f>ABS(TRUNC(X189))</f>
        <v>29</v>
      </c>
      <c r="F191" s="23">
        <f>ABS(X189-TRUNC(X189))*60</f>
        <v>32.86617772508038</v>
      </c>
      <c r="M191" s="17">
        <v>39.047</v>
      </c>
      <c r="N191" s="17">
        <v>-20.05</v>
      </c>
      <c r="O191" s="14">
        <f>M192+O189/3600*$A$361</f>
        <v>344.4139193189406</v>
      </c>
      <c r="P191" s="14">
        <f>N192+P189/3600*$A$361</f>
        <v>-29.622846367388274</v>
      </c>
      <c r="Q191" s="14">
        <f>SIN($F$375)*COS(P192)*COS(O192+$B$375)+COS($F$375)*SIN(P192)</f>
        <v>-0.49319913350752864</v>
      </c>
      <c r="R191" s="14" t="s">
        <v>106</v>
      </c>
      <c r="S191" s="8" t="s">
        <v>86</v>
      </c>
      <c r="T191" s="8" t="s">
        <v>89</v>
      </c>
      <c r="U191" s="8" t="s">
        <v>88</v>
      </c>
      <c r="V191" s="8" t="s">
        <v>89</v>
      </c>
      <c r="W191" s="8" t="s">
        <v>97</v>
      </c>
      <c r="X191" s="8"/>
    </row>
    <row r="192" spans="1:23" ht="12.75">
      <c r="A192" s="3"/>
      <c r="B192" s="3"/>
      <c r="C192" s="3"/>
      <c r="D192" s="3"/>
      <c r="E192" s="3"/>
      <c r="F192" s="3"/>
      <c r="M192" s="13">
        <f>(M189+M190/60+M191/3600)*15</f>
        <v>344.4126958333333</v>
      </c>
      <c r="N192" s="13">
        <f>N189+N190/60+N191/3600</f>
        <v>-29.62223611111111</v>
      </c>
      <c r="O192">
        <f>RADIANS(O191)</f>
        <v>6.01115688181362</v>
      </c>
      <c r="P192">
        <f>RADIANS(P191)</f>
        <v>-0.5170162029233671</v>
      </c>
      <c r="R192">
        <f>DEGREES(ASIN(Q191))</f>
        <v>-29.55106911598993</v>
      </c>
      <c r="S192">
        <f>RADIANS(R192)</f>
        <v>-0.5157634535584343</v>
      </c>
      <c r="T192">
        <f>SIN($D$367)*COS(S189)*$A$364+SIN(S189)*$A$367</f>
        <v>3.0048976264355192E-05</v>
      </c>
      <c r="U192" s="15">
        <f>($A$388*U189-U190)*$V$12/COS(S192)</f>
        <v>-2.8195757596030045E-05</v>
      </c>
      <c r="V192" s="15">
        <f>($A$388*V189-V190)*$V$12</f>
        <v>2.7537939676530036E-05</v>
      </c>
      <c r="W192">
        <f>360-W189</f>
        <v>15.402857949696283</v>
      </c>
    </row>
    <row r="193" spans="1:24" ht="12.75">
      <c r="A193" s="3" t="s">
        <v>107</v>
      </c>
      <c r="B193" s="3" t="s">
        <v>107</v>
      </c>
      <c r="C193" s="3" t="s">
        <v>107</v>
      </c>
      <c r="D193" s="3" t="s">
        <v>107</v>
      </c>
      <c r="E193" s="3" t="s">
        <v>107</v>
      </c>
      <c r="F193" s="3" t="s">
        <v>107</v>
      </c>
      <c r="M193" s="3" t="s">
        <v>107</v>
      </c>
      <c r="N193" s="3" t="s">
        <v>163</v>
      </c>
      <c r="O193" s="3" t="s">
        <v>107</v>
      </c>
      <c r="P193" s="3" t="s">
        <v>107</v>
      </c>
      <c r="Q193" s="3" t="s">
        <v>107</v>
      </c>
      <c r="R193" s="3" t="s">
        <v>107</v>
      </c>
      <c r="S193" s="3" t="s">
        <v>107</v>
      </c>
      <c r="T193" s="3" t="s">
        <v>163</v>
      </c>
      <c r="U193" s="3" t="s">
        <v>107</v>
      </c>
      <c r="V193" s="3" t="s">
        <v>107</v>
      </c>
      <c r="W193" s="3" t="s">
        <v>107</v>
      </c>
      <c r="X193" s="3" t="s">
        <v>107</v>
      </c>
    </row>
    <row r="194" spans="1:24" ht="12.75">
      <c r="A194" s="3"/>
      <c r="B194" s="3"/>
      <c r="C194" s="3"/>
      <c r="D194" s="3"/>
      <c r="E194" s="3"/>
      <c r="F194" s="3"/>
      <c r="M194" s="16" t="s">
        <v>71</v>
      </c>
      <c r="N194" s="16" t="s">
        <v>106</v>
      </c>
      <c r="O194" s="16" t="s">
        <v>73</v>
      </c>
      <c r="P194" s="16" t="s">
        <v>74</v>
      </c>
      <c r="Q194" t="s">
        <v>81</v>
      </c>
      <c r="R194" t="s">
        <v>71</v>
      </c>
      <c r="S194" t="s">
        <v>85</v>
      </c>
      <c r="T194" t="s">
        <v>88</v>
      </c>
      <c r="U194" t="s">
        <v>92</v>
      </c>
      <c r="V194" t="s">
        <v>93</v>
      </c>
      <c r="W194" t="s">
        <v>71</v>
      </c>
      <c r="X194" t="s">
        <v>106</v>
      </c>
    </row>
    <row r="195" spans="1:24" ht="12.75">
      <c r="A195" s="30" t="s">
        <v>163</v>
      </c>
      <c r="B195" s="33">
        <v>31</v>
      </c>
      <c r="C195" s="34">
        <v>1.6</v>
      </c>
      <c r="D195" s="6" t="s">
        <v>132</v>
      </c>
      <c r="E195" s="36">
        <f>TRUNC(W198)</f>
        <v>172</v>
      </c>
      <c r="F195" s="37">
        <f>ABS(W198-E195)*60</f>
        <v>0.5291250751162124</v>
      </c>
      <c r="M195" s="16">
        <v>12</v>
      </c>
      <c r="N195" s="16">
        <v>-57</v>
      </c>
      <c r="O195" s="16">
        <v>0.02794</v>
      </c>
      <c r="P195" s="16">
        <v>-0.26433</v>
      </c>
      <c r="Q195">
        <f>COS(P198)*SIN(O198+$B$375)</f>
        <v>-0.07441476469391857</v>
      </c>
      <c r="R195">
        <f>DEGREES(ATAN2(Q196,Q195))+$C$375</f>
        <v>-172.02115442451802</v>
      </c>
      <c r="S195">
        <f>RADIANS(R196)</f>
        <v>3.2808497793901354</v>
      </c>
      <c r="T195">
        <f>(COS($D$367)+SIN($D$367)*SIN(S195)*TAN(S198))*$A$364-COS(S195)*TAN(S198)*$A$367</f>
        <v>0.00010582227931111947</v>
      </c>
      <c r="U195">
        <f>COS(S195)*COS($D$388)*COS($D$367)+SIN(S195)*SIN($D$388)</f>
        <v>0.07182390963761379</v>
      </c>
      <c r="V195">
        <f>COS($D$388)*COS($D$367)*(TAN($D$367)*COS(S198)-SIN(S195)*SIN(S198))+COS(S195)*SIN(S198)*SIN($D$388)</f>
        <v>0.7857224906432093</v>
      </c>
      <c r="W195">
        <f>DEGREES(U198+T195+S195)</f>
        <v>187.99118124874806</v>
      </c>
      <c r="X195">
        <f>DEGREES(V198+T198+S198)</f>
        <v>-57.19325977985059</v>
      </c>
    </row>
    <row r="196" spans="1:22" ht="12.75">
      <c r="A196" s="3" t="s">
        <v>104</v>
      </c>
      <c r="B196" s="3" t="s">
        <v>105</v>
      </c>
      <c r="C196" s="3" t="s">
        <v>102</v>
      </c>
      <c r="D196" s="3" t="s">
        <v>106</v>
      </c>
      <c r="E196" s="3" t="s">
        <v>105</v>
      </c>
      <c r="F196" s="3" t="s">
        <v>102</v>
      </c>
      <c r="M196" s="16">
        <v>31</v>
      </c>
      <c r="N196" s="16">
        <v>-6</v>
      </c>
      <c r="O196" t="s">
        <v>77</v>
      </c>
      <c r="P196" t="s">
        <v>78</v>
      </c>
      <c r="Q196">
        <f>COS($F$375)*COS(P198)*COS(O198+$B$375)-SIN($F$375)*SIN(P198)</f>
        <v>-0.5367507795396114</v>
      </c>
      <c r="R196">
        <f>R195-360*INT(R195/360)</f>
        <v>187.97884557548198</v>
      </c>
      <c r="U196">
        <f>COS(S195)*COS($D$383)*COS($D$367)+SIN(S195)*SIN($D$383)</f>
        <v>-0.595823641215885</v>
      </c>
      <c r="V196">
        <f>COS($D$383)*COS($D$367)*(TAN($D$367)*COS(S198)-SIN(S195)*SIN(S198))+COS(S195)*SIN(S198)*SIN($D$383)</f>
        <v>0.7650157334267639</v>
      </c>
    </row>
    <row r="197" spans="1:24" ht="12.75">
      <c r="A197" s="9">
        <f>($C$370+E195+F195/60)-INT(($C$370+E195+F195/60)/360)*360</f>
        <v>78.9203784845813</v>
      </c>
      <c r="B197" s="22">
        <f>TRUNC(A197)</f>
        <v>78</v>
      </c>
      <c r="C197" s="23">
        <f>(A197-B197)*60</f>
        <v>55.22270907487837</v>
      </c>
      <c r="D197" s="38" t="str">
        <f>IF(X195&gt;=0,"N","S")</f>
        <v>S</v>
      </c>
      <c r="E197" s="22">
        <f>ABS(TRUNC(X195))</f>
        <v>57</v>
      </c>
      <c r="F197" s="23">
        <f>ABS(X195-TRUNC(X195))*60</f>
        <v>11.595586791035544</v>
      </c>
      <c r="M197" s="17">
        <v>9.959</v>
      </c>
      <c r="N197" s="17">
        <v>-47.56</v>
      </c>
      <c r="O197" s="14">
        <f>M198+O195/3600*$A$361</f>
        <v>187.79159966720692</v>
      </c>
      <c r="P197" s="14">
        <f>N198+P195/3600*$A$361</f>
        <v>-57.11419344496254</v>
      </c>
      <c r="Q197" s="14">
        <f>SIN($F$375)*COS(P198)*COS(O198+$B$375)+COS($F$375)*SIN(P198)</f>
        <v>-0.8404528799755332</v>
      </c>
      <c r="R197" s="14" t="s">
        <v>106</v>
      </c>
      <c r="S197" s="8" t="s">
        <v>86</v>
      </c>
      <c r="T197" s="8" t="s">
        <v>89</v>
      </c>
      <c r="U197" s="8" t="s">
        <v>88</v>
      </c>
      <c r="V197" s="8" t="s">
        <v>89</v>
      </c>
      <c r="W197" s="8" t="s">
        <v>97</v>
      </c>
      <c r="X197" s="8"/>
    </row>
    <row r="198" spans="1:23" ht="12.75">
      <c r="A198" s="3"/>
      <c r="B198" s="3"/>
      <c r="C198" s="3"/>
      <c r="D198" s="3"/>
      <c r="E198" s="3"/>
      <c r="F198" s="3"/>
      <c r="M198" s="13">
        <f>(M195+M196/60+M197/3600)*15</f>
        <v>187.79149583333333</v>
      </c>
      <c r="N198" s="13">
        <f>N195+N196/60+N197/3600</f>
        <v>-57.11321111111111</v>
      </c>
      <c r="O198">
        <f>RADIANS(O197)</f>
        <v>3.2775817217798484</v>
      </c>
      <c r="P198">
        <f>RADIANS(P197)</f>
        <v>-0.996830725235559</v>
      </c>
      <c r="R198">
        <f>DEGREES(ASIN(Q197))</f>
        <v>-57.187973568215014</v>
      </c>
      <c r="S198">
        <f>RADIANS(R198)</f>
        <v>-0.998118431308842</v>
      </c>
      <c r="T198">
        <f>SIN($D$367)*COS(S195)*$A$364+SIN(S195)*$A$367</f>
        <v>-1.755000494170695E-05</v>
      </c>
      <c r="U198" s="15">
        <f>($A$388*U195-U196)*$V$12/COS(S198)</f>
        <v>0.00010947583463213624</v>
      </c>
      <c r="V198" s="15">
        <f>($A$388*V195-V196)*$V$12</f>
        <v>-7.471179305630986E-05</v>
      </c>
      <c r="W198">
        <f>360-W195</f>
        <v>172.00881875125194</v>
      </c>
    </row>
    <row r="199" spans="1:24" ht="12.75">
      <c r="A199" s="3" t="s">
        <v>107</v>
      </c>
      <c r="B199" s="3" t="s">
        <v>107</v>
      </c>
      <c r="C199" s="3" t="s">
        <v>107</v>
      </c>
      <c r="D199" s="3" t="s">
        <v>107</v>
      </c>
      <c r="E199" s="3" t="s">
        <v>107</v>
      </c>
      <c r="F199" s="3" t="s">
        <v>107</v>
      </c>
      <c r="M199" s="3" t="s">
        <v>107</v>
      </c>
      <c r="N199" s="3" t="s">
        <v>164</v>
      </c>
      <c r="O199" s="3" t="s">
        <v>107</v>
      </c>
      <c r="P199" s="3" t="s">
        <v>107</v>
      </c>
      <c r="Q199" s="3" t="s">
        <v>107</v>
      </c>
      <c r="R199" s="3" t="s">
        <v>107</v>
      </c>
      <c r="S199" s="3" t="s">
        <v>107</v>
      </c>
      <c r="T199" s="3" t="s">
        <v>164</v>
      </c>
      <c r="U199" s="3" t="s">
        <v>107</v>
      </c>
      <c r="V199" s="3" t="s">
        <v>107</v>
      </c>
      <c r="W199" s="3" t="s">
        <v>107</v>
      </c>
      <c r="X199" s="3" t="s">
        <v>107</v>
      </c>
    </row>
    <row r="200" spans="1:24" ht="12.75">
      <c r="A200" s="3"/>
      <c r="B200" s="3"/>
      <c r="C200" s="3"/>
      <c r="D200" s="3"/>
      <c r="E200" s="3"/>
      <c r="F200" s="3"/>
      <c r="M200" s="16" t="s">
        <v>71</v>
      </c>
      <c r="N200" s="16" t="s">
        <v>106</v>
      </c>
      <c r="O200" s="16" t="s">
        <v>73</v>
      </c>
      <c r="P200" s="16" t="s">
        <v>74</v>
      </c>
      <c r="Q200" t="s">
        <v>81</v>
      </c>
      <c r="R200" t="s">
        <v>71</v>
      </c>
      <c r="S200" t="s">
        <v>85</v>
      </c>
      <c r="T200" t="s">
        <v>88</v>
      </c>
      <c r="U200" t="s">
        <v>92</v>
      </c>
      <c r="V200" t="s">
        <v>93</v>
      </c>
      <c r="W200" t="s">
        <v>71</v>
      </c>
      <c r="X200" t="s">
        <v>106</v>
      </c>
    </row>
    <row r="201" spans="1:24" ht="12.75">
      <c r="A201" s="30" t="s">
        <v>164</v>
      </c>
      <c r="B201" s="33">
        <v>29</v>
      </c>
      <c r="C201" s="34">
        <v>2.6</v>
      </c>
      <c r="D201" s="6" t="s">
        <v>132</v>
      </c>
      <c r="E201" s="36">
        <f>TRUNC(W204)</f>
        <v>175</v>
      </c>
      <c r="F201" s="37">
        <f>ABS(W204-E201)*60</f>
        <v>52.14953643484307</v>
      </c>
      <c r="M201" s="16">
        <v>12</v>
      </c>
      <c r="N201" s="16">
        <v>-17</v>
      </c>
      <c r="O201" s="16">
        <v>-0.15958</v>
      </c>
      <c r="P201" s="16">
        <v>0.02231</v>
      </c>
      <c r="Q201">
        <f>COS(P204)*SIN(O204+$B$375)</f>
        <v>-0.06712111837731459</v>
      </c>
      <c r="R201">
        <f>DEGREES(ATAN2(Q202,Q201))+$C$375</f>
        <v>-175.87597020296838</v>
      </c>
      <c r="S201">
        <f>RADIANS(R202)</f>
        <v>3.2135705519983486</v>
      </c>
      <c r="T201">
        <f>(COS($D$367)+SIN($D$367)*SIN(S201)*TAN(S204))*$A$364-COS(S201)*TAN(S204)*$A$367</f>
        <v>6.209613359073928E-05</v>
      </c>
      <c r="U201">
        <f>COS(S201)*COS($D$388)*COS($D$367)+SIN(S201)*SIN($D$388)</f>
        <v>0.1384390680350354</v>
      </c>
      <c r="V201">
        <f>COS($D$388)*COS($D$367)*(TAN($D$367)*COS(S204)-SIN(S201)*SIN(S204))+COS(S201)*SIN(S204)*SIN($D$388)</f>
        <v>0.21211693644706414</v>
      </c>
      <c r="W201">
        <f>DEGREES(U204+T201+S201)</f>
        <v>184.13084105941928</v>
      </c>
      <c r="X201">
        <f>DEGREES(V204+T204+S204)</f>
        <v>-17.61980231157647</v>
      </c>
    </row>
    <row r="202" spans="1:22" ht="12.75">
      <c r="A202" s="3" t="s">
        <v>104</v>
      </c>
      <c r="B202" s="3" t="s">
        <v>105</v>
      </c>
      <c r="C202" s="3" t="s">
        <v>102</v>
      </c>
      <c r="D202" s="3" t="s">
        <v>106</v>
      </c>
      <c r="E202" s="3" t="s">
        <v>105</v>
      </c>
      <c r="F202" s="3" t="s">
        <v>102</v>
      </c>
      <c r="M202" s="16">
        <v>15</v>
      </c>
      <c r="N202" s="16">
        <v>-32</v>
      </c>
      <c r="O202" t="s">
        <v>77</v>
      </c>
      <c r="P202" t="s">
        <v>78</v>
      </c>
      <c r="Q202">
        <f>COS($F$375)*COS(P204)*COS(O204+$B$375)-SIN($F$375)*SIN(P204)</f>
        <v>-0.9507390224720996</v>
      </c>
      <c r="R202">
        <f>R201-360*INT(R201/360)</f>
        <v>184.12402979703162</v>
      </c>
      <c r="U202">
        <f>COS(S201)*COS($D$383)*COS($D$367)+SIN(S201)*SIN($D$383)</f>
        <v>-0.5423459132174889</v>
      </c>
      <c r="V202">
        <f>COS($D$383)*COS($D$367)*(TAN($D$367)*COS(S204)-SIN(S201)*SIN(S204))+COS(S201)*SIN(S204)*SIN($D$383)</f>
        <v>0.44557440191923303</v>
      </c>
    </row>
    <row r="203" spans="1:24" ht="12.75">
      <c r="A203" s="9">
        <f>($C$370+E201+F201/60)-INT(($C$370+E201+F201/60)/360)*360</f>
        <v>82.78071867391009</v>
      </c>
      <c r="B203" s="22">
        <f>TRUNC(A203)</f>
        <v>82</v>
      </c>
      <c r="C203" s="23">
        <f>(A203-B203)*60</f>
        <v>46.843120434605225</v>
      </c>
      <c r="D203" s="38" t="str">
        <f>IF(X201&gt;=0,"N","S")</f>
        <v>S</v>
      </c>
      <c r="E203" s="22">
        <f>ABS(TRUNC(X201))</f>
        <v>17</v>
      </c>
      <c r="F203" s="23">
        <f>ABS(X201-TRUNC(X201))*60</f>
        <v>37.188138694588275</v>
      </c>
      <c r="M203" s="17">
        <v>48.37</v>
      </c>
      <c r="N203" s="17">
        <v>-30.95</v>
      </c>
      <c r="O203" s="14">
        <f>M204+O201/3600*$A$361</f>
        <v>183.95094861693335</v>
      </c>
      <c r="P203" s="14">
        <f>N204+P201/3600*$A$361</f>
        <v>-17.541847644541953</v>
      </c>
      <c r="Q203" s="14">
        <f>SIN($F$375)*COS(P204)*COS(O204+$B$375)+COS($F$375)*SIN(P204)</f>
        <v>-0.30263850815217685</v>
      </c>
      <c r="R203" s="14" t="s">
        <v>106</v>
      </c>
      <c r="S203" s="8" t="s">
        <v>86</v>
      </c>
      <c r="T203" s="8" t="s">
        <v>89</v>
      </c>
      <c r="U203" s="8" t="s">
        <v>88</v>
      </c>
      <c r="V203" s="8" t="s">
        <v>89</v>
      </c>
      <c r="W203" s="8" t="s">
        <v>97</v>
      </c>
      <c r="X203" s="8"/>
    </row>
    <row r="204" spans="1:23" ht="12.75">
      <c r="A204" s="3"/>
      <c r="B204" s="3"/>
      <c r="C204" s="3"/>
      <c r="D204" s="3"/>
      <c r="E204" s="3"/>
      <c r="F204" s="3"/>
      <c r="M204" s="13">
        <f>(M201+M202/60+M203/3600)*15</f>
        <v>183.95154166666669</v>
      </c>
      <c r="N204" s="13">
        <f>N201+N202/60+N203/3600</f>
        <v>-17.541930555555556</v>
      </c>
      <c r="O204">
        <f>RADIANS(O203)</f>
        <v>3.2105497155323963</v>
      </c>
      <c r="P204">
        <f>RADIANS(P203)</f>
        <v>-0.306162998280469</v>
      </c>
      <c r="R204">
        <f>DEGREES(ASIN(Q203))</f>
        <v>-17.616147169849075</v>
      </c>
      <c r="S204">
        <f>RADIANS(R204)</f>
        <v>-0.30745976962974714</v>
      </c>
      <c r="T204">
        <f>SIN($D$367)*COS(S201)*$A$364+SIN(S201)*$A$367</f>
        <v>-1.987176904536442E-05</v>
      </c>
      <c r="U204" s="15">
        <f>($A$388*U201-U202)*$V$12/COS(S204)</f>
        <v>5.678282129092655E-05</v>
      </c>
      <c r="V204" s="15">
        <f>($A$388*V201-V202)*$V$12</f>
        <v>-4.3922488724744346E-05</v>
      </c>
      <c r="W204">
        <f>360-W201</f>
        <v>175.86915894058072</v>
      </c>
    </row>
    <row r="205" spans="1:24" ht="12.75">
      <c r="A205" s="3" t="s">
        <v>107</v>
      </c>
      <c r="B205" s="3" t="s">
        <v>107</v>
      </c>
      <c r="C205" s="3" t="s">
        <v>107</v>
      </c>
      <c r="D205" s="3" t="s">
        <v>107</v>
      </c>
      <c r="E205" s="3" t="s">
        <v>107</v>
      </c>
      <c r="F205" s="3" t="s">
        <v>107</v>
      </c>
      <c r="M205" s="3" t="s">
        <v>107</v>
      </c>
      <c r="N205" s="3" t="s">
        <v>165</v>
      </c>
      <c r="O205" s="3" t="s">
        <v>107</v>
      </c>
      <c r="P205" s="3" t="s">
        <v>107</v>
      </c>
      <c r="Q205" s="3" t="s">
        <v>107</v>
      </c>
      <c r="R205" s="3" t="s">
        <v>107</v>
      </c>
      <c r="S205" s="3" t="s">
        <v>107</v>
      </c>
      <c r="T205" s="3" t="s">
        <v>165</v>
      </c>
      <c r="U205" s="3" t="s">
        <v>107</v>
      </c>
      <c r="V205" s="3" t="s">
        <v>107</v>
      </c>
      <c r="W205" s="3" t="s">
        <v>107</v>
      </c>
      <c r="X205" s="3" t="s">
        <v>107</v>
      </c>
    </row>
    <row r="206" spans="1:24" ht="12.75">
      <c r="A206" s="3"/>
      <c r="B206" s="3"/>
      <c r="C206" s="3"/>
      <c r="D206" s="3"/>
      <c r="E206" s="3"/>
      <c r="F206" s="3"/>
      <c r="M206" s="16" t="s">
        <v>71</v>
      </c>
      <c r="N206" s="16" t="s">
        <v>106</v>
      </c>
      <c r="O206" s="16" t="s">
        <v>73</v>
      </c>
      <c r="P206" s="16" t="s">
        <v>74</v>
      </c>
      <c r="Q206" t="s">
        <v>81</v>
      </c>
      <c r="R206" t="s">
        <v>71</v>
      </c>
      <c r="S206" t="s">
        <v>85</v>
      </c>
      <c r="T206" t="s">
        <v>88</v>
      </c>
      <c r="U206" t="s">
        <v>92</v>
      </c>
      <c r="V206" t="s">
        <v>93</v>
      </c>
      <c r="W206" t="s">
        <v>71</v>
      </c>
      <c r="X206" t="s">
        <v>106</v>
      </c>
    </row>
    <row r="207" spans="1:24" ht="12.75">
      <c r="A207" s="30" t="s">
        <v>165</v>
      </c>
      <c r="B207" s="33">
        <v>35</v>
      </c>
      <c r="C207" s="34">
        <v>0.6</v>
      </c>
      <c r="D207" s="6" t="s">
        <v>132</v>
      </c>
      <c r="E207" s="36">
        <f>TRUNC(W210)</f>
        <v>148</v>
      </c>
      <c r="F207" s="37">
        <f>ABS(W210-E207)*60</f>
        <v>47.308858630005375</v>
      </c>
      <c r="M207" s="16">
        <v>14</v>
      </c>
      <c r="N207" s="16">
        <v>-60</v>
      </c>
      <c r="O207" s="16">
        <v>-0.03396</v>
      </c>
      <c r="P207" s="16">
        <v>-0.02506</v>
      </c>
      <c r="Q207">
        <f>COS(P210)*SIN(O210+$B$375)</f>
        <v>-0.25491518786941736</v>
      </c>
      <c r="R207">
        <f>DEGREES(ATAN2(Q208,Q207))+$C$375</f>
        <v>-148.8051652294534</v>
      </c>
      <c r="S207">
        <f>RADIANS(R208)</f>
        <v>3.6860452299514415</v>
      </c>
      <c r="T207">
        <f>(COS($D$367)+SIN($D$367)*SIN(S207)*TAN(S210))*$A$364-COS(S207)*TAN(S210)*$A$367</f>
        <v>0.00012045043246363463</v>
      </c>
      <c r="U207">
        <f>COS(S207)*COS($D$388)*COS($D$367)+SIN(S207)*SIN($D$388)</f>
        <v>-0.32554692703652366</v>
      </c>
      <c r="V207">
        <f>COS($D$388)*COS($D$367)*(TAN($D$367)*COS(S210)-SIN(S207)*SIN(S210))+COS(S207)*SIN(S210)*SIN($D$388)</f>
        <v>0.773946606407576</v>
      </c>
      <c r="W207">
        <f>DEGREES(U210+T207+S207)</f>
        <v>211.21151902283324</v>
      </c>
      <c r="X207">
        <f>DEGREES(V210+T210+S210)</f>
        <v>-60.439937548813845</v>
      </c>
    </row>
    <row r="208" spans="1:22" ht="12.75">
      <c r="A208" s="3" t="s">
        <v>104</v>
      </c>
      <c r="B208" s="3" t="s">
        <v>105</v>
      </c>
      <c r="C208" s="3" t="s">
        <v>102</v>
      </c>
      <c r="D208" s="3" t="s">
        <v>106</v>
      </c>
      <c r="E208" s="3" t="s">
        <v>105</v>
      </c>
      <c r="F208" s="3" t="s">
        <v>102</v>
      </c>
      <c r="M208" s="16">
        <v>3</v>
      </c>
      <c r="N208" s="16">
        <v>-22</v>
      </c>
      <c r="O208" t="s">
        <v>77</v>
      </c>
      <c r="P208" t="s">
        <v>78</v>
      </c>
      <c r="Q208">
        <f>COS($F$375)*COS(P210)*COS(O210+$B$375)-SIN($F$375)*SIN(P210)</f>
        <v>-0.4224256472070685</v>
      </c>
      <c r="R208">
        <f>R207-360*INT(R207/360)</f>
        <v>211.1948347705466</v>
      </c>
      <c r="U208">
        <f>COS(S207)*COS($D$383)*COS($D$367)+SIN(S207)*SIN($D$383)</f>
        <v>-0.8532430196579568</v>
      </c>
      <c r="V208">
        <f>COS($D$383)*COS($D$367)*(TAN($D$367)*COS(S210)-SIN(S207)*SIN(S210))+COS(S207)*SIN(S210)*SIN($D$383)</f>
        <v>0.5187292140854871</v>
      </c>
    </row>
    <row r="209" spans="1:24" ht="12.75">
      <c r="A209" s="9">
        <f>($C$370+E207+F207/60)-INT(($C$370+E207+F207/60)/360)*360</f>
        <v>55.70004071049607</v>
      </c>
      <c r="B209" s="22">
        <f>TRUNC(A209)</f>
        <v>55</v>
      </c>
      <c r="C209" s="23">
        <f>(A209-B209)*60</f>
        <v>42.00244262976412</v>
      </c>
      <c r="D209" s="38" t="str">
        <f>IF(X207&gt;=0,"N","S")</f>
        <v>S</v>
      </c>
      <c r="E209" s="22">
        <f>ABS(TRUNC(X207))</f>
        <v>60</v>
      </c>
      <c r="F209" s="23">
        <f>ABS(X207-TRUNC(X207))*60</f>
        <v>26.396252928830677</v>
      </c>
      <c r="M209" s="17">
        <v>49.404</v>
      </c>
      <c r="N209" s="17">
        <v>-22.94</v>
      </c>
      <c r="O209" s="14">
        <f>M210+O207/3600*$A$361</f>
        <v>210.9557237939031</v>
      </c>
      <c r="P209" s="14">
        <f>N210+P207/3600*$A$361</f>
        <v>-60.373132019771944</v>
      </c>
      <c r="Q209" s="14">
        <f>SIN($F$375)*COS(P210)*COS(O210+$B$375)+COS($F$375)*SIN(P210)</f>
        <v>-0.8698130946215911</v>
      </c>
      <c r="R209" s="14" t="s">
        <v>106</v>
      </c>
      <c r="S209" s="8" t="s">
        <v>86</v>
      </c>
      <c r="T209" s="8" t="s">
        <v>89</v>
      </c>
      <c r="U209" s="8" t="s">
        <v>88</v>
      </c>
      <c r="V209" s="8" t="s">
        <v>89</v>
      </c>
      <c r="W209" s="8" t="s">
        <v>97</v>
      </c>
      <c r="X209" s="8"/>
    </row>
    <row r="210" spans="1:23" ht="12.75">
      <c r="A210" s="3"/>
      <c r="B210" s="3"/>
      <c r="C210" s="3"/>
      <c r="D210" s="3"/>
      <c r="E210" s="3"/>
      <c r="F210" s="3"/>
      <c r="M210" s="13">
        <f>(M207+M208/60+M209/3600)*15</f>
        <v>210.95585</v>
      </c>
      <c r="N210" s="13">
        <f>N207+N208/60+N209/3600</f>
        <v>-60.37303888888889</v>
      </c>
      <c r="O210">
        <f>RADIANS(O209)</f>
        <v>3.681871956131353</v>
      </c>
      <c r="P210">
        <f>RADIANS(P209)</f>
        <v>-1.0537099334862348</v>
      </c>
      <c r="R210">
        <f>DEGREES(ASIN(Q209))</f>
        <v>-60.4369271520654</v>
      </c>
      <c r="S210">
        <f>RADIANS(R210)</f>
        <v>-1.054823368591501</v>
      </c>
      <c r="T210">
        <f>SIN($D$367)*COS(S207)*$A$364+SIN(S207)*$A$367</f>
        <v>-2.2822785324435926E-06</v>
      </c>
      <c r="U210" s="15">
        <f>($A$388*U207-U208)*$V$12/COS(S210)</f>
        <v>0.0001707447031712696</v>
      </c>
      <c r="V210" s="15">
        <f>($A$388*V207-V208)*$V$12</f>
        <v>-5.0259056519269165E-05</v>
      </c>
      <c r="W210">
        <f>360-W207</f>
        <v>148.78848097716676</v>
      </c>
    </row>
    <row r="211" spans="1:24" ht="12.75">
      <c r="A211" s="3" t="s">
        <v>107</v>
      </c>
      <c r="B211" s="3" t="s">
        <v>107</v>
      </c>
      <c r="C211" s="3" t="s">
        <v>107</v>
      </c>
      <c r="D211" s="3" t="s">
        <v>107</v>
      </c>
      <c r="E211" s="3" t="s">
        <v>107</v>
      </c>
      <c r="F211" s="3" t="s">
        <v>107</v>
      </c>
      <c r="M211" s="3" t="s">
        <v>107</v>
      </c>
      <c r="N211" s="3" t="s">
        <v>166</v>
      </c>
      <c r="O211" s="3" t="s">
        <v>107</v>
      </c>
      <c r="P211" s="3" t="s">
        <v>107</v>
      </c>
      <c r="Q211" s="3" t="s">
        <v>107</v>
      </c>
      <c r="R211" s="3" t="s">
        <v>107</v>
      </c>
      <c r="S211" s="3" t="s">
        <v>107</v>
      </c>
      <c r="T211" s="3" t="s">
        <v>166</v>
      </c>
      <c r="U211" s="3" t="s">
        <v>107</v>
      </c>
      <c r="V211" s="3" t="s">
        <v>107</v>
      </c>
      <c r="W211" s="3" t="s">
        <v>107</v>
      </c>
      <c r="X211" s="3" t="s">
        <v>107</v>
      </c>
    </row>
    <row r="212" spans="1:24" ht="12.75">
      <c r="A212" s="3"/>
      <c r="B212" s="3"/>
      <c r="C212" s="3"/>
      <c r="D212" s="3"/>
      <c r="E212" s="3"/>
      <c r="F212" s="3"/>
      <c r="M212" s="16" t="s">
        <v>71</v>
      </c>
      <c r="N212" s="16" t="s">
        <v>106</v>
      </c>
      <c r="O212" s="16" t="s">
        <v>73</v>
      </c>
      <c r="P212" s="16" t="s">
        <v>74</v>
      </c>
      <c r="Q212" t="s">
        <v>81</v>
      </c>
      <c r="R212" t="s">
        <v>71</v>
      </c>
      <c r="S212" t="s">
        <v>85</v>
      </c>
      <c r="T212" t="s">
        <v>88</v>
      </c>
      <c r="U212" t="s">
        <v>92</v>
      </c>
      <c r="V212" t="s">
        <v>93</v>
      </c>
      <c r="W212" t="s">
        <v>71</v>
      </c>
      <c r="X212" t="s">
        <v>106</v>
      </c>
    </row>
    <row r="213" spans="1:24" ht="12.75">
      <c r="A213" s="30" t="s">
        <v>166</v>
      </c>
      <c r="B213" s="33">
        <v>6</v>
      </c>
      <c r="C213" s="34">
        <v>2</v>
      </c>
      <c r="D213" s="6" t="s">
        <v>132</v>
      </c>
      <c r="E213" s="36">
        <f>TRUNC(W216)</f>
        <v>328</v>
      </c>
      <c r="F213" s="37">
        <f>ABS(W216-E213)*60</f>
        <v>1.1273146895462105</v>
      </c>
      <c r="M213" s="16">
        <v>2</v>
      </c>
      <c r="N213" s="16">
        <v>23</v>
      </c>
      <c r="O213" s="16">
        <v>0.19073</v>
      </c>
      <c r="P213" s="16">
        <v>-0.14577</v>
      </c>
      <c r="Q213">
        <f>COS(P216)*SIN(O216+$B$375)</f>
        <v>0.48447490359852796</v>
      </c>
      <c r="R213">
        <f>DEGREES(ATAN2(Q214,Q213))+$C$375</f>
        <v>31.98259447914184</v>
      </c>
      <c r="S213">
        <f>RADIANS(R214)</f>
        <v>0.558201576991186</v>
      </c>
      <c r="T213">
        <f>(COS($D$367)+SIN($D$367)*SIN(S213)*TAN(S216))*$A$364-COS(S213)*TAN(S216)*$A$367</f>
        <v>6.841956629736054E-05</v>
      </c>
      <c r="U213">
        <f>COS(S213)*COS($D$388)*COS($D$367)+SIN(S213)*SIN($D$388)</f>
        <v>0.3384559698942995</v>
      </c>
      <c r="V213">
        <f>COS($D$388)*COS($D$367)*(TAN($D$367)*COS(S216)-SIN(S213)*SIN(S216))+COS(S213)*SIN(S216)*SIN($D$388)</f>
        <v>0.2907800357702982</v>
      </c>
      <c r="W213">
        <f>DEGREES(U216+T213+S213)</f>
        <v>31.981211421840918</v>
      </c>
      <c r="X213">
        <f>DEGREES(V216+T216+S216)</f>
        <v>23.523100658322264</v>
      </c>
    </row>
    <row r="214" spans="1:22" ht="12.75">
      <c r="A214" s="3" t="s">
        <v>104</v>
      </c>
      <c r="B214" s="3" t="s">
        <v>105</v>
      </c>
      <c r="C214" s="3" t="s">
        <v>102</v>
      </c>
      <c r="D214" s="3" t="s">
        <v>106</v>
      </c>
      <c r="E214" s="3" t="s">
        <v>105</v>
      </c>
      <c r="F214" s="3" t="s">
        <v>102</v>
      </c>
      <c r="M214" s="16">
        <v>7</v>
      </c>
      <c r="N214" s="16">
        <v>27</v>
      </c>
      <c r="O214" t="s">
        <v>77</v>
      </c>
      <c r="P214" t="s">
        <v>78</v>
      </c>
      <c r="Q214">
        <f>COS($F$375)*COS(P216)*COS(O216+$B$375)-SIN($F$375)*SIN(P216)</f>
        <v>0.778435883822248</v>
      </c>
      <c r="R214">
        <f>R213-360*INT(R213/360)</f>
        <v>31.98259447914184</v>
      </c>
      <c r="U214">
        <f>COS(S213)*COS($D$383)*COS($D$367)+SIN(S213)*SIN($D$383)</f>
        <v>0.8597307546341788</v>
      </c>
      <c r="V214">
        <f>COS($D$383)*COS($D$367)*(TAN($D$367)*COS(S216)-SIN(S213)*SIN(S216))+COS(S213)*SIN(S216)*SIN($D$383)</f>
        <v>0.37773306880582774</v>
      </c>
    </row>
    <row r="215" spans="1:24" ht="12.75">
      <c r="A215" s="9">
        <f>($C$370+E213+F213/60)-INT(($C$370+E213+F213/60)/360)*360</f>
        <v>234.9303483114884</v>
      </c>
      <c r="B215" s="22">
        <f>TRUNC(A215)</f>
        <v>234</v>
      </c>
      <c r="C215" s="40">
        <f>(A215-B215)*60</f>
        <v>55.82089868930325</v>
      </c>
      <c r="D215" s="38" t="str">
        <f>IF(X213&gt;=0,"N","S")</f>
        <v>N</v>
      </c>
      <c r="E215" s="22">
        <f>ABS(TRUNC(X213))</f>
        <v>23</v>
      </c>
      <c r="F215" s="23">
        <f>ABS(X213-TRUNC(X213))*60</f>
        <v>31.386039499335823</v>
      </c>
      <c r="M215" s="17">
        <v>10.407</v>
      </c>
      <c r="N215" s="17">
        <v>44.72</v>
      </c>
      <c r="O215" s="14">
        <f>M216+O213/3600*$A$361</f>
        <v>31.79407131298181</v>
      </c>
      <c r="P215" s="14">
        <f>N216+P213/3600*$A$361</f>
        <v>23.46188049481511</v>
      </c>
      <c r="Q215" s="14">
        <f>SIN($F$375)*COS(P216)*COS(O216+$B$375)+COS($F$375)*SIN(P216)</f>
        <v>0.39915115252379363</v>
      </c>
      <c r="R215" s="14" t="s">
        <v>106</v>
      </c>
      <c r="S215" s="8" t="s">
        <v>86</v>
      </c>
      <c r="T215" s="8" t="s">
        <v>89</v>
      </c>
      <c r="U215" s="8" t="s">
        <v>88</v>
      </c>
      <c r="V215" s="8" t="s">
        <v>89</v>
      </c>
      <c r="W215" s="8" t="s">
        <v>97</v>
      </c>
      <c r="X215" s="8"/>
    </row>
    <row r="216" spans="1:23" ht="12.75">
      <c r="A216" s="3"/>
      <c r="B216" s="3"/>
      <c r="C216" s="3"/>
      <c r="D216" s="3"/>
      <c r="E216" s="3"/>
      <c r="F216" s="3"/>
      <c r="M216" s="13">
        <f>(M213+M214/60+M215/3600)*15</f>
        <v>31.7933625</v>
      </c>
      <c r="N216" s="13">
        <f>N213+N214/60+N215/3600</f>
        <v>23.462422222222223</v>
      </c>
      <c r="O216">
        <f>RADIANS(O215)</f>
        <v>0.5549112270254092</v>
      </c>
      <c r="P216">
        <f>RADIANS(P215)</f>
        <v>0.40948706334396007</v>
      </c>
      <c r="R216">
        <f>DEGREES(ASIN(Q215))</f>
        <v>23.52512364347156</v>
      </c>
      <c r="S216">
        <f>RADIANS(R216)</f>
        <v>0.41059086451734333</v>
      </c>
      <c r="T216">
        <f>SIN($D$367)*COS(S213)*$A$364+SIN(S213)*$A$367</f>
        <v>1.743120506924599E-06</v>
      </c>
      <c r="U216" s="15">
        <f>($A$388*U213-U214)*$V$12/COS(S216)</f>
        <v>-9.255846994219948E-05</v>
      </c>
      <c r="V216" s="15">
        <f>($A$388*V213-V214)*$V$12</f>
        <v>-3.705087208110909E-05</v>
      </c>
      <c r="W216">
        <f>360-W213</f>
        <v>328.0187885781591</v>
      </c>
    </row>
    <row r="217" spans="1:24" ht="12.75">
      <c r="A217" s="3" t="s">
        <v>107</v>
      </c>
      <c r="B217" s="3" t="s">
        <v>107</v>
      </c>
      <c r="C217" s="3" t="s">
        <v>107</v>
      </c>
      <c r="D217" s="3" t="s">
        <v>107</v>
      </c>
      <c r="E217" s="3" t="s">
        <v>107</v>
      </c>
      <c r="F217" s="3" t="s">
        <v>107</v>
      </c>
      <c r="M217" s="3" t="s">
        <v>107</v>
      </c>
      <c r="N217" s="3" t="s">
        <v>167</v>
      </c>
      <c r="O217" s="3" t="s">
        <v>107</v>
      </c>
      <c r="P217" s="3" t="s">
        <v>107</v>
      </c>
      <c r="Q217" s="3" t="s">
        <v>107</v>
      </c>
      <c r="R217" s="3" t="s">
        <v>107</v>
      </c>
      <c r="S217" s="3" t="s">
        <v>107</v>
      </c>
      <c r="T217" s="3" t="s">
        <v>167</v>
      </c>
      <c r="U217" s="3" t="s">
        <v>107</v>
      </c>
      <c r="V217" s="3" t="s">
        <v>107</v>
      </c>
      <c r="W217" s="3" t="s">
        <v>107</v>
      </c>
      <c r="X217" s="3" t="s">
        <v>107</v>
      </c>
    </row>
    <row r="218" spans="1:24" ht="12.75">
      <c r="A218" s="3"/>
      <c r="B218" s="3"/>
      <c r="C218" s="3"/>
      <c r="D218" s="3"/>
      <c r="E218" s="3"/>
      <c r="F218" s="3"/>
      <c r="M218" s="16" t="s">
        <v>71</v>
      </c>
      <c r="N218" s="16" t="s">
        <v>106</v>
      </c>
      <c r="O218" s="16" t="s">
        <v>73</v>
      </c>
      <c r="P218" s="16" t="s">
        <v>74</v>
      </c>
      <c r="Q218" t="s">
        <v>81</v>
      </c>
      <c r="R218" t="s">
        <v>71</v>
      </c>
      <c r="S218" t="s">
        <v>85</v>
      </c>
      <c r="T218" t="s">
        <v>88</v>
      </c>
      <c r="U218" t="s">
        <v>92</v>
      </c>
      <c r="V218" t="s">
        <v>93</v>
      </c>
      <c r="W218" t="s">
        <v>71</v>
      </c>
      <c r="X218" t="s">
        <v>106</v>
      </c>
    </row>
    <row r="219" spans="1:24" ht="12.75">
      <c r="A219" s="30" t="s">
        <v>167</v>
      </c>
      <c r="B219" s="33">
        <v>48</v>
      </c>
      <c r="C219" s="34">
        <v>1.9</v>
      </c>
      <c r="D219" s="6" t="s">
        <v>132</v>
      </c>
      <c r="E219" s="36">
        <f>TRUNC(W222)</f>
        <v>83</v>
      </c>
      <c r="F219" s="37">
        <f>ABS(W222-E219)*60</f>
        <v>43.56236605446611</v>
      </c>
      <c r="M219" s="16">
        <v>18</v>
      </c>
      <c r="N219" s="16">
        <v>-34</v>
      </c>
      <c r="O219" s="16">
        <v>-0.03961</v>
      </c>
      <c r="P219" s="16">
        <v>-0.12405</v>
      </c>
      <c r="Q219">
        <f>COS(P222)*SIN(O222+$B$375)</f>
        <v>-0.8205441372855183</v>
      </c>
      <c r="R219">
        <f>DEGREES(ATAN2(Q220,Q219))+$C$375</f>
        <v>-83.73506511644202</v>
      </c>
      <c r="S219">
        <f>RADIANS(R220)</f>
        <v>4.821732721525825</v>
      </c>
      <c r="T219">
        <f>(COS($D$367)+SIN($D$367)*SIN(S219)*TAN(S222))*$A$364-COS(S219)*TAN(S222)*$A$367</f>
        <v>6.406227611136183E-05</v>
      </c>
      <c r="U219">
        <f>COS(S219)*COS($D$388)*COS($D$367)+SIN(S219)*SIN($D$388)</f>
        <v>-0.9907015145514572</v>
      </c>
      <c r="V219">
        <f>COS($D$388)*COS($D$367)*(TAN($D$367)*COS(S222)-SIN(S219)*SIN(S222))+COS(S219)*SIN(S222)*SIN($D$388)</f>
        <v>-0.01746441878374453</v>
      </c>
      <c r="W219">
        <f>DEGREES(U222+T219+S219)</f>
        <v>276.2739605657589</v>
      </c>
      <c r="X219">
        <f>DEGREES(V222+T222+S222)</f>
        <v>-34.374255765798964</v>
      </c>
    </row>
    <row r="220" spans="1:22" ht="12.75">
      <c r="A220" s="3" t="s">
        <v>104</v>
      </c>
      <c r="B220" s="3" t="s">
        <v>105</v>
      </c>
      <c r="C220" s="3" t="s">
        <v>102</v>
      </c>
      <c r="D220" s="3" t="s">
        <v>106</v>
      </c>
      <c r="E220" s="3" t="s">
        <v>105</v>
      </c>
      <c r="F220" s="3" t="s">
        <v>102</v>
      </c>
      <c r="M220" s="16">
        <v>24</v>
      </c>
      <c r="N220" s="16">
        <v>-23</v>
      </c>
      <c r="O220" t="s">
        <v>77</v>
      </c>
      <c r="P220" t="s">
        <v>78</v>
      </c>
      <c r="Q220">
        <f>COS($F$375)*COS(P222)*COS(O222+$B$375)-SIN($F$375)*SIN(P222)</f>
        <v>0.08883856883370607</v>
      </c>
      <c r="R220">
        <f>R219-360*INT(R219/360)</f>
        <v>276.264934883558</v>
      </c>
      <c r="U220">
        <f>COS(S219)*COS($D$383)*COS($D$367)+SIN(S219)*SIN($D$383)</f>
        <v>-0.7928850766616546</v>
      </c>
      <c r="V220">
        <f>COS($D$383)*COS($D$367)*(TAN($D$367)*COS(S222)-SIN(S219)*SIN(S222))+COS(S219)*SIN(S222)*SIN($D$383)</f>
        <v>-0.15058380162561152</v>
      </c>
    </row>
    <row r="221" spans="1:24" ht="12.75">
      <c r="A221" s="9">
        <f>($C$370+E219+F219/60)-INT(($C$370+E219+F219/60)/360)*360</f>
        <v>350.63759916757044</v>
      </c>
      <c r="B221" s="22">
        <f>TRUNC(A221)</f>
        <v>350</v>
      </c>
      <c r="C221" s="23">
        <f>(A221-B221)*60</f>
        <v>38.25595005422656</v>
      </c>
      <c r="D221" s="38" t="str">
        <f>IF(X219&gt;=0,"N","S")</f>
        <v>S</v>
      </c>
      <c r="E221" s="22">
        <f>ABS(TRUNC(X219))</f>
        <v>34</v>
      </c>
      <c r="F221" s="23">
        <f>ABS(X219-TRUNC(X219))*60</f>
        <v>22.455345947937815</v>
      </c>
      <c r="M221" s="17">
        <v>10.318</v>
      </c>
      <c r="N221" s="17">
        <v>-4.62</v>
      </c>
      <c r="O221" s="14">
        <f>M222+O219/3600*$A$361</f>
        <v>276.0428444633834</v>
      </c>
      <c r="P221" s="14">
        <f>N222+P219/3600*$A$361</f>
        <v>-34.385077675686716</v>
      </c>
      <c r="Q221" s="14">
        <f>SIN($F$375)*COS(P222)*COS(O222+$B$375)+COS($F$375)*SIN(P222)</f>
        <v>-0.5646370758761271</v>
      </c>
      <c r="R221" s="14" t="s">
        <v>106</v>
      </c>
      <c r="S221" s="8" t="s">
        <v>86</v>
      </c>
      <c r="T221" s="8" t="s">
        <v>89</v>
      </c>
      <c r="U221" s="8" t="s">
        <v>88</v>
      </c>
      <c r="V221" s="8" t="s">
        <v>89</v>
      </c>
      <c r="W221" s="8" t="s">
        <v>97</v>
      </c>
      <c r="X221" s="8"/>
    </row>
    <row r="222" spans="1:23" ht="12.75">
      <c r="A222" s="3"/>
      <c r="B222" s="3"/>
      <c r="C222" s="3"/>
      <c r="D222" s="3"/>
      <c r="E222" s="3"/>
      <c r="F222" s="3"/>
      <c r="M222" s="13">
        <f>(M219+M220/60+M221/3600)*15</f>
        <v>276.04299166666664</v>
      </c>
      <c r="N222" s="13">
        <f>N219+N220/60+N221/3600</f>
        <v>-34.384616666666666</v>
      </c>
      <c r="O222">
        <f>RADIANS(O221)</f>
        <v>4.81785651245664</v>
      </c>
      <c r="P222">
        <f>RADIANS(P221)</f>
        <v>-0.6001328189947321</v>
      </c>
      <c r="R222">
        <f>DEGREES(ASIN(Q221))</f>
        <v>-34.377093006508645</v>
      </c>
      <c r="S222">
        <f>RADIANS(R222)</f>
        <v>-0.5999934602278924</v>
      </c>
      <c r="T222">
        <f>SIN($D$367)*COS(S219)*$A$364+SIN(S219)*$A$367</f>
        <v>3.458540543351981E-05</v>
      </c>
      <c r="U222" s="15">
        <f>($A$388*U219-U220)*$V$12/COS(S222)</f>
        <v>9.34655955321511E-05</v>
      </c>
      <c r="V222" s="15">
        <f>($A$388*V219-V220)*$V$12</f>
        <v>1.493378662214553E-05</v>
      </c>
      <c r="W222">
        <f>360-W219</f>
        <v>83.7260394342411</v>
      </c>
    </row>
    <row r="223" spans="1:24" ht="12.75">
      <c r="A223" s="3" t="s">
        <v>107</v>
      </c>
      <c r="B223" s="3" t="s">
        <v>107</v>
      </c>
      <c r="C223" s="3" t="s">
        <v>107</v>
      </c>
      <c r="D223" s="3" t="s">
        <v>107</v>
      </c>
      <c r="E223" s="3" t="s">
        <v>107</v>
      </c>
      <c r="F223" s="3" t="s">
        <v>107</v>
      </c>
      <c r="M223" s="3" t="s">
        <v>107</v>
      </c>
      <c r="N223" s="3" t="s">
        <v>168</v>
      </c>
      <c r="O223" s="3" t="s">
        <v>107</v>
      </c>
      <c r="P223" s="3" t="s">
        <v>107</v>
      </c>
      <c r="Q223" s="3" t="s">
        <v>107</v>
      </c>
      <c r="R223" s="3" t="s">
        <v>107</v>
      </c>
      <c r="S223" s="3" t="s">
        <v>107</v>
      </c>
      <c r="T223" s="3" t="s">
        <v>168</v>
      </c>
      <c r="U223" s="3" t="s">
        <v>107</v>
      </c>
      <c r="V223" s="3" t="s">
        <v>107</v>
      </c>
      <c r="W223" s="3" t="s">
        <v>107</v>
      </c>
      <c r="X223" s="3" t="s">
        <v>107</v>
      </c>
    </row>
    <row r="224" spans="1:24" ht="12.75">
      <c r="A224" s="3"/>
      <c r="B224" s="3"/>
      <c r="C224" s="3"/>
      <c r="D224" s="3"/>
      <c r="E224" s="3"/>
      <c r="F224" s="3"/>
      <c r="M224" s="16" t="s">
        <v>71</v>
      </c>
      <c r="N224" s="16" t="s">
        <v>106</v>
      </c>
      <c r="O224" s="16" t="s">
        <v>73</v>
      </c>
      <c r="P224" s="16" t="s">
        <v>74</v>
      </c>
      <c r="Q224" t="s">
        <v>81</v>
      </c>
      <c r="R224" t="s">
        <v>71</v>
      </c>
      <c r="S224" t="s">
        <v>85</v>
      </c>
      <c r="T224" t="s">
        <v>88</v>
      </c>
      <c r="U224" t="s">
        <v>92</v>
      </c>
      <c r="V224" t="s">
        <v>93</v>
      </c>
      <c r="W224" t="s">
        <v>71</v>
      </c>
      <c r="X224" t="s">
        <v>106</v>
      </c>
    </row>
    <row r="225" spans="1:24" ht="12.75">
      <c r="A225" s="30" t="s">
        <v>168</v>
      </c>
      <c r="B225" s="33">
        <v>40</v>
      </c>
      <c r="C225" s="34">
        <v>2.1</v>
      </c>
      <c r="D225" s="6" t="s">
        <v>132</v>
      </c>
      <c r="E225" s="36">
        <f>TRUNC(W228)</f>
        <v>137</v>
      </c>
      <c r="F225" s="37">
        <f>ABS(W228-E225)*60</f>
        <v>18.936470542417396</v>
      </c>
      <c r="M225" s="16">
        <v>14</v>
      </c>
      <c r="N225" s="16">
        <v>74</v>
      </c>
      <c r="O225" s="16">
        <v>-0.03229</v>
      </c>
      <c r="P225" s="16">
        <v>0.01191</v>
      </c>
      <c r="Q225">
        <f>COS(P228)*SIN(O228+$B$375)</f>
        <v>-0.18537249562169653</v>
      </c>
      <c r="R225">
        <f>DEGREES(ATAN2(Q226,Q225))+$C$375</f>
        <v>-137.32990814890934</v>
      </c>
      <c r="S225">
        <f>RADIANS(R226)</f>
        <v>3.886326248519727</v>
      </c>
      <c r="T225">
        <f>(COS($D$367)+SIN($D$367)*SIN(S225)*TAN(S228))*$A$364-COS(S225)*TAN(S228)*$A$367</f>
        <v>-8.512008076498178E-05</v>
      </c>
      <c r="U225">
        <f>COS(S225)*COS($D$388)*COS($D$367)+SIN(S225)*SIN($D$388)</f>
        <v>-0.5062813523439837</v>
      </c>
      <c r="V225">
        <f>COS($D$388)*COS($D$367)*(TAN($D$367)*COS(S228)-SIN(S225)*SIN(S228))+COS(S225)*SIN(S228)*SIN($D$388)</f>
        <v>-0.8496080746873536</v>
      </c>
      <c r="W225">
        <f>DEGREES(U228+T225+S225)</f>
        <v>222.68439215762638</v>
      </c>
      <c r="X225">
        <f>DEGREES(V228+T228+S228)</f>
        <v>74.10233231654283</v>
      </c>
    </row>
    <row r="226" spans="1:22" ht="12.75">
      <c r="A226" s="3" t="s">
        <v>104</v>
      </c>
      <c r="B226" s="3" t="s">
        <v>105</v>
      </c>
      <c r="C226" s="3" t="s">
        <v>102</v>
      </c>
      <c r="D226" s="3" t="s">
        <v>106</v>
      </c>
      <c r="E226" s="3" t="s">
        <v>105</v>
      </c>
      <c r="F226" s="3" t="s">
        <v>102</v>
      </c>
      <c r="M226" s="16">
        <v>50</v>
      </c>
      <c r="N226" s="16">
        <v>9</v>
      </c>
      <c r="O226" t="s">
        <v>77</v>
      </c>
      <c r="P226" t="s">
        <v>78</v>
      </c>
      <c r="Q226">
        <f>COS($F$375)*COS(P228)*COS(O228+$B$375)-SIN($F$375)*SIN(P228)</f>
        <v>-0.20170140950753573</v>
      </c>
      <c r="R226">
        <f>R225-360*INT(R225/360)</f>
        <v>222.67009185109066</v>
      </c>
      <c r="U226">
        <f>COS(S225)*COS($D$383)*COS($D$367)+SIN(S225)*SIN($D$383)</f>
        <v>-0.9312331754656259</v>
      </c>
      <c r="V226">
        <f>COS($D$383)*COS($D$367)*(TAN($D$367)*COS(S228)-SIN(S225)*SIN(S228))+COS(S225)*SIN(S228)*SIN($D$383)</f>
        <v>-0.22974721296531997</v>
      </c>
    </row>
    <row r="227" spans="1:24" ht="12.75">
      <c r="A227" s="9">
        <f>($C$370+E225+F225/60)-INT(($C$370+E225+F225/60)/360)*360</f>
        <v>44.22716757570299</v>
      </c>
      <c r="B227" s="22">
        <f>TRUNC(A227)</f>
        <v>44</v>
      </c>
      <c r="C227" s="23">
        <f>(A227-B227)*60</f>
        <v>13.63005454217955</v>
      </c>
      <c r="D227" s="38" t="str">
        <f>IF(X225&gt;=0,"N","S")</f>
        <v>N</v>
      </c>
      <c r="E227" s="22">
        <f>ABS(TRUNC(X225))</f>
        <v>74</v>
      </c>
      <c r="F227" s="23">
        <f>ABS(X225-TRUNC(X225))*60</f>
        <v>6.139938992569682</v>
      </c>
      <c r="M227" s="17">
        <v>42.326</v>
      </c>
      <c r="N227" s="17">
        <v>19.82</v>
      </c>
      <c r="O227" s="14">
        <f>M228+O225/3600*$A$361</f>
        <v>222.67623833348443</v>
      </c>
      <c r="P227" s="14">
        <f>N228+P225/3600*$A$361</f>
        <v>74.15554981688106</v>
      </c>
      <c r="Q227" s="14">
        <f>SIN($F$375)*COS(P228)*COS(O228+$B$375)+COS($F$375)*SIN(P228)</f>
        <v>0.9617450697922281</v>
      </c>
      <c r="R227" s="14" t="s">
        <v>106</v>
      </c>
      <c r="S227" s="8" t="s">
        <v>86</v>
      </c>
      <c r="T227" s="8" t="s">
        <v>89</v>
      </c>
      <c r="U227" s="8" t="s">
        <v>88</v>
      </c>
      <c r="V227" s="8" t="s">
        <v>89</v>
      </c>
      <c r="W227" s="8" t="s">
        <v>97</v>
      </c>
      <c r="X227" s="8"/>
    </row>
    <row r="228" spans="1:23" ht="12.75">
      <c r="A228" s="3"/>
      <c r="B228" s="3"/>
      <c r="C228" s="3"/>
      <c r="D228" s="3"/>
      <c r="E228" s="3"/>
      <c r="F228" s="3"/>
      <c r="M228" s="13">
        <f>(M225+M226/60+M227/3600)*15</f>
        <v>222.67635833333335</v>
      </c>
      <c r="N228" s="13">
        <f>N225+N226/60+N227/3600</f>
        <v>74.15550555555556</v>
      </c>
      <c r="O228">
        <f>RADIANS(O227)</f>
        <v>3.8864335248749144</v>
      </c>
      <c r="P228">
        <f>RADIANS(P227)</f>
        <v>1.2942585029312528</v>
      </c>
      <c r="R228">
        <f>DEGREES(ASIN(Q227))</f>
        <v>74.10078643546514</v>
      </c>
      <c r="S228">
        <f>RADIANS(R228)</f>
        <v>1.2933027016160192</v>
      </c>
      <c r="T228">
        <f>SIN($D$367)*COS(S225)*$A$364+SIN(S225)*$A$367</f>
        <v>5.561954247798712E-06</v>
      </c>
      <c r="U228" s="15">
        <f>($A$388*U225-U226)*$V$12/COS(S228)</f>
        <v>0.0003347075138579484</v>
      </c>
      <c r="V228" s="15">
        <f>($A$388*V225-V226)*$V$12</f>
        <v>2.1418760402202163E-05</v>
      </c>
      <c r="W228">
        <f>360-W225</f>
        <v>137.31560784237362</v>
      </c>
    </row>
    <row r="229" spans="1:24" ht="12.75">
      <c r="A229" s="3" t="s">
        <v>107</v>
      </c>
      <c r="B229" s="3" t="s">
        <v>107</v>
      </c>
      <c r="C229" s="3" t="s">
        <v>107</v>
      </c>
      <c r="D229" s="3" t="s">
        <v>107</v>
      </c>
      <c r="E229" s="3" t="s">
        <v>107</v>
      </c>
      <c r="F229" s="3" t="s">
        <v>107</v>
      </c>
      <c r="M229" s="3" t="s">
        <v>107</v>
      </c>
      <c r="N229" s="3" t="s">
        <v>169</v>
      </c>
      <c r="O229" s="3" t="s">
        <v>107</v>
      </c>
      <c r="P229" s="3" t="s">
        <v>107</v>
      </c>
      <c r="Q229" s="3" t="s">
        <v>107</v>
      </c>
      <c r="R229" s="3" t="s">
        <v>107</v>
      </c>
      <c r="S229" s="3" t="s">
        <v>107</v>
      </c>
      <c r="T229" s="3" t="s">
        <v>169</v>
      </c>
      <c r="U229" s="3" t="s">
        <v>107</v>
      </c>
      <c r="V229" s="3" t="s">
        <v>107</v>
      </c>
      <c r="W229" s="3" t="s">
        <v>107</v>
      </c>
      <c r="X229" s="3" t="s">
        <v>107</v>
      </c>
    </row>
    <row r="230" spans="1:24" ht="12.75">
      <c r="A230" s="3"/>
      <c r="B230" s="3"/>
      <c r="C230" s="3"/>
      <c r="D230" s="3"/>
      <c r="E230" s="3"/>
      <c r="F230" s="3"/>
      <c r="M230" s="16" t="s">
        <v>71</v>
      </c>
      <c r="N230" s="16" t="s">
        <v>106</v>
      </c>
      <c r="O230" s="16" t="s">
        <v>73</v>
      </c>
      <c r="P230" s="16" t="s">
        <v>74</v>
      </c>
      <c r="Q230" t="s">
        <v>81</v>
      </c>
      <c r="R230" t="s">
        <v>71</v>
      </c>
      <c r="S230" t="s">
        <v>85</v>
      </c>
      <c r="T230" t="s">
        <v>88</v>
      </c>
      <c r="U230" t="s">
        <v>92</v>
      </c>
      <c r="V230" t="s">
        <v>93</v>
      </c>
      <c r="W230" t="s">
        <v>71</v>
      </c>
      <c r="X230" t="s">
        <v>106</v>
      </c>
    </row>
    <row r="231" spans="1:24" ht="12.75">
      <c r="A231" s="30" t="s">
        <v>169</v>
      </c>
      <c r="B231" s="33">
        <v>57</v>
      </c>
      <c r="C231" s="34">
        <v>2.5</v>
      </c>
      <c r="D231" s="6" t="s">
        <v>132</v>
      </c>
      <c r="E231" s="36">
        <f>TRUNC(W234)</f>
        <v>13</v>
      </c>
      <c r="F231" s="37">
        <f>ABS(W234-E231)*60</f>
        <v>38.47305925234309</v>
      </c>
      <c r="M231" s="16">
        <v>23</v>
      </c>
      <c r="N231" s="16">
        <v>15</v>
      </c>
      <c r="O231" s="16">
        <v>0.0611</v>
      </c>
      <c r="P231" s="16">
        <v>-0.04256</v>
      </c>
      <c r="Q231">
        <f>COS(P234)*SIN(O234+$B$375)</f>
        <v>-0.2289372612989044</v>
      </c>
      <c r="R231">
        <f>DEGREES(ATAN2(Q232,Q231))+$C$375</f>
        <v>-13.642943821844364</v>
      </c>
      <c r="S231">
        <f>RADIANS(R232)</f>
        <v>6.045071017823783</v>
      </c>
      <c r="T231">
        <f>(COS($D$367)+SIN($D$367)*SIN(S231)*TAN(S234))*$A$364-COS(S231)*TAN(S234)*$A$367</f>
        <v>5.849553622511837E-05</v>
      </c>
      <c r="U231">
        <f>COS(S231)*COS($D$388)*COS($D$367)+SIN(S231)*SIN($D$388)</f>
        <v>-0.43277724807705553</v>
      </c>
      <c r="V231">
        <f>COS($D$388)*COS($D$367)*(TAN($D$367)*COS(S234)-SIN(S231)*SIN(S234))+COS(S231)*SIN(S234)*SIN($D$388)</f>
        <v>0.14893951048372817</v>
      </c>
      <c r="W231">
        <f>DEGREES(U234+T231+S231)</f>
        <v>346.3587823457943</v>
      </c>
      <c r="X231">
        <f>DEGREES(V234+T234+S234)</f>
        <v>15.276594207373783</v>
      </c>
    </row>
    <row r="232" spans="1:22" ht="12.75">
      <c r="A232" s="3" t="s">
        <v>104</v>
      </c>
      <c r="B232" s="3" t="s">
        <v>105</v>
      </c>
      <c r="C232" s="3" t="s">
        <v>102</v>
      </c>
      <c r="D232" s="3" t="s">
        <v>106</v>
      </c>
      <c r="E232" s="3" t="s">
        <v>105</v>
      </c>
      <c r="F232" s="3" t="s">
        <v>102</v>
      </c>
      <c r="M232" s="16">
        <v>4</v>
      </c>
      <c r="N232" s="16">
        <v>12</v>
      </c>
      <c r="O232" t="s">
        <v>77</v>
      </c>
      <c r="P232" t="s">
        <v>78</v>
      </c>
      <c r="Q232">
        <f>COS($F$375)*COS(P234)*COS(O234+$B$375)-SIN($F$375)*SIN(P234)</f>
        <v>0.9371012969161369</v>
      </c>
      <c r="R232">
        <f>R231-360*INT(R231/360)</f>
        <v>346.35705617815563</v>
      </c>
      <c r="U232">
        <f>COS(S231)*COS($D$383)*COS($D$367)+SIN(S231)*SIN($D$383)</f>
        <v>0.2681771774729681</v>
      </c>
      <c r="V232">
        <f>COS($D$383)*COS($D$367)*(TAN($D$367)*COS(S234)-SIN(S231)*SIN(S234))+COS(S231)*SIN(S234)*SIN($D$383)</f>
        <v>0.4495189555235777</v>
      </c>
    </row>
    <row r="233" spans="1:24" ht="12.75">
      <c r="A233" s="9">
        <f>($C$370+E231+F231/60)-INT(($C$370+E231+F231/60)/360)*360</f>
        <v>280.55277738753506</v>
      </c>
      <c r="B233" s="22">
        <f>TRUNC(A233)</f>
        <v>280</v>
      </c>
      <c r="C233" s="23">
        <f>(A233-B233)*60</f>
        <v>33.16664325210354</v>
      </c>
      <c r="D233" s="38" t="str">
        <f>IF(X231&gt;=0,"N","S")</f>
        <v>N</v>
      </c>
      <c r="E233" s="22">
        <f>ABS(TRUNC(X231))</f>
        <v>15</v>
      </c>
      <c r="F233" s="23">
        <f>ABS(X231-TRUNC(X231))*60</f>
        <v>16.595652442426996</v>
      </c>
      <c r="M233" s="17">
        <v>45.654</v>
      </c>
      <c r="N233" s="17">
        <v>18.95</v>
      </c>
      <c r="O233" s="14">
        <f>M234+O231/3600*$A$361</f>
        <v>346.19045206691754</v>
      </c>
      <c r="P233" s="14">
        <f>N234+P231/3600*$A$361</f>
        <v>15.205105722472982</v>
      </c>
      <c r="Q233" s="14">
        <f>SIN($F$375)*COS(P234)*COS(O234+$B$375)+COS($F$375)*SIN(P234)</f>
        <v>0.2634936236553961</v>
      </c>
      <c r="R233" s="14" t="s">
        <v>106</v>
      </c>
      <c r="S233" s="8" t="s">
        <v>86</v>
      </c>
      <c r="T233" s="8" t="s">
        <v>89</v>
      </c>
      <c r="U233" s="8" t="s">
        <v>88</v>
      </c>
      <c r="V233" s="8" t="s">
        <v>89</v>
      </c>
      <c r="W233" s="8" t="s">
        <v>97</v>
      </c>
      <c r="X233" s="8"/>
    </row>
    <row r="234" spans="1:23" ht="12.75">
      <c r="A234" s="3"/>
      <c r="B234" s="3"/>
      <c r="C234" s="3"/>
      <c r="D234" s="3"/>
      <c r="E234" s="3"/>
      <c r="F234" s="3"/>
      <c r="M234" s="13">
        <f>(M231+M232/60+M233/3600)*15</f>
        <v>346.190225</v>
      </c>
      <c r="N234" s="13">
        <f>N231+N232/60+N233/3600</f>
        <v>15.205263888888888</v>
      </c>
      <c r="O234">
        <f>RADIANS(O233)</f>
        <v>6.04216322753532</v>
      </c>
      <c r="P234">
        <f>RADIANS(P233)</f>
        <v>0.2653791579709847</v>
      </c>
      <c r="R234">
        <f>DEGREES(ASIN(Q233))</f>
        <v>15.277462868735185</v>
      </c>
      <c r="S234">
        <f>RADIANS(R234)</f>
        <v>0.26664202841060725</v>
      </c>
      <c r="T234">
        <f>SIN($D$367)*COS(S231)*$A$364+SIN(S231)*$A$367</f>
        <v>2.9258294094790062E-05</v>
      </c>
      <c r="U234" s="15">
        <f>($A$388*U231-U232)*$V$12/COS(S234)</f>
        <v>-2.8368227489713126E-05</v>
      </c>
      <c r="V234" s="15">
        <f>($A$388*V231-V232)*$V$12</f>
        <v>-4.4419294936129206E-05</v>
      </c>
      <c r="W234">
        <f>360-W231</f>
        <v>13.641217654205718</v>
      </c>
    </row>
    <row r="235" spans="1:24" ht="12.75">
      <c r="A235" s="3" t="s">
        <v>107</v>
      </c>
      <c r="B235" s="3" t="s">
        <v>107</v>
      </c>
      <c r="C235" s="3" t="s">
        <v>107</v>
      </c>
      <c r="D235" s="3" t="s">
        <v>107</v>
      </c>
      <c r="E235" s="3" t="s">
        <v>107</v>
      </c>
      <c r="F235" s="3" t="s">
        <v>107</v>
      </c>
      <c r="M235" s="3" t="s">
        <v>107</v>
      </c>
      <c r="N235" s="3" t="s">
        <v>170</v>
      </c>
      <c r="O235" s="3" t="s">
        <v>107</v>
      </c>
      <c r="P235" s="3" t="s">
        <v>107</v>
      </c>
      <c r="Q235" s="3" t="s">
        <v>107</v>
      </c>
      <c r="R235" s="3" t="s">
        <v>107</v>
      </c>
      <c r="S235" s="3" t="s">
        <v>107</v>
      </c>
      <c r="T235" s="3" t="s">
        <v>170</v>
      </c>
      <c r="U235" s="3" t="s">
        <v>107</v>
      </c>
      <c r="V235" s="3" t="s">
        <v>107</v>
      </c>
      <c r="W235" s="3" t="s">
        <v>107</v>
      </c>
      <c r="X235" s="3" t="s">
        <v>107</v>
      </c>
    </row>
    <row r="236" spans="1:24" ht="12.75">
      <c r="A236" s="3"/>
      <c r="B236" s="3"/>
      <c r="C236" s="3"/>
      <c r="D236" s="3"/>
      <c r="E236" s="3"/>
      <c r="F236" s="3"/>
      <c r="M236" s="16" t="s">
        <v>71</v>
      </c>
      <c r="N236" s="16" t="s">
        <v>106</v>
      </c>
      <c r="O236" s="16" t="s">
        <v>73</v>
      </c>
      <c r="P236" s="16" t="s">
        <v>74</v>
      </c>
      <c r="Q236" t="s">
        <v>81</v>
      </c>
      <c r="R236" t="s">
        <v>71</v>
      </c>
      <c r="S236" t="s">
        <v>85</v>
      </c>
      <c r="T236" t="s">
        <v>88</v>
      </c>
      <c r="U236" t="s">
        <v>92</v>
      </c>
      <c r="V236" t="s">
        <v>93</v>
      </c>
      <c r="W236" t="s">
        <v>71</v>
      </c>
      <c r="X236" t="s">
        <v>106</v>
      </c>
    </row>
    <row r="237" spans="1:24" ht="12.75">
      <c r="A237" s="30" t="s">
        <v>170</v>
      </c>
      <c r="B237" s="33">
        <v>8</v>
      </c>
      <c r="C237" s="34">
        <v>2.5</v>
      </c>
      <c r="D237" s="6" t="s">
        <v>132</v>
      </c>
      <c r="E237" s="36">
        <f>TRUNC(W240)</f>
        <v>314</v>
      </c>
      <c r="F237" s="37">
        <f>ABS(W240-E237)*60</f>
        <v>15.429195036001602</v>
      </c>
      <c r="M237" s="16">
        <v>3</v>
      </c>
      <c r="N237" s="16">
        <v>4</v>
      </c>
      <c r="O237" s="16">
        <v>-0.01181</v>
      </c>
      <c r="P237" s="16">
        <v>-0.07876</v>
      </c>
      <c r="Q237">
        <f>COS(P240)*SIN(O240+$B$375)</f>
        <v>0.7133298412454283</v>
      </c>
      <c r="R237">
        <f>DEGREES(ATAN2(Q238,Q237))+$C$375</f>
        <v>45.74509197237047</v>
      </c>
      <c r="S237">
        <f>RADIANS(R238)</f>
        <v>0.7984024715454916</v>
      </c>
      <c r="T237">
        <f>(COS($D$367)+SIN($D$367)*SIN(S237)*TAN(S240))*$A$364-COS(S237)*TAN(S240)*$A$367</f>
        <v>5.413138685007624E-05</v>
      </c>
      <c r="U237">
        <f>COS(S237)*COS($D$388)*COS($D$367)+SIN(S237)*SIN($D$388)</f>
        <v>0.5515565177705548</v>
      </c>
      <c r="V237">
        <f>COS($D$388)*COS($D$367)*(TAN($D$367)*COS(S240)-SIN(S237)*SIN(S240))+COS(S237)*SIN(S240)*SIN($D$388)</f>
        <v>-0.03047777126221754</v>
      </c>
      <c r="W237">
        <f>DEGREES(U240+T237+S237)</f>
        <v>45.74284674939997</v>
      </c>
      <c r="X237">
        <f>DEGREES(V240+T240+S240)</f>
        <v>4.139771197607562</v>
      </c>
    </row>
    <row r="238" spans="1:22" ht="12.75">
      <c r="A238" s="3" t="s">
        <v>104</v>
      </c>
      <c r="B238" s="3" t="s">
        <v>105</v>
      </c>
      <c r="C238" s="3" t="s">
        <v>102</v>
      </c>
      <c r="D238" s="3" t="s">
        <v>106</v>
      </c>
      <c r="E238" s="3" t="s">
        <v>105</v>
      </c>
      <c r="F238" s="3" t="s">
        <v>102</v>
      </c>
      <c r="M238" s="16">
        <v>2</v>
      </c>
      <c r="N238" s="16">
        <v>5</v>
      </c>
      <c r="O238" t="s">
        <v>77</v>
      </c>
      <c r="P238" t="s">
        <v>78</v>
      </c>
      <c r="Q238">
        <f>COS($F$375)*COS(P240)*COS(O240+$B$375)-SIN($F$375)*SIN(P240)</f>
        <v>0.6970974271376617</v>
      </c>
      <c r="R238">
        <f>R237-360*INT(R237/360)</f>
        <v>45.74509197237047</v>
      </c>
      <c r="U238">
        <f>COS(S237)*COS($D$383)*COS($D$367)+SIN(S237)*SIN($D$383)</f>
        <v>0.9459022573144196</v>
      </c>
      <c r="V238">
        <f>COS($D$383)*COS($D$367)*(TAN($D$367)*COS(S240)-SIN(S237)*SIN(S240))+COS(S237)*SIN(S240)*SIN($D$383)</f>
        <v>0.22648932074119865</v>
      </c>
    </row>
    <row r="239" spans="1:24" ht="12.75">
      <c r="A239" s="9">
        <f>($C$370+E237+F237/60)-INT(($C$370+E237+F237/60)/360)*360</f>
        <v>221.16871298392937</v>
      </c>
      <c r="B239" s="22">
        <f>TRUNC(A239)</f>
        <v>221</v>
      </c>
      <c r="C239" s="23">
        <f>(A239-B239)*60</f>
        <v>10.12277903576205</v>
      </c>
      <c r="D239" s="38" t="str">
        <f>IF(X237&gt;=0,"N","S")</f>
        <v>N</v>
      </c>
      <c r="E239" s="22">
        <f>ABS(TRUNC(X237))</f>
        <v>4</v>
      </c>
      <c r="F239" s="23">
        <f>ABS(X237-TRUNC(X237))*60</f>
        <v>8.386271856453718</v>
      </c>
      <c r="M239" s="17">
        <v>16.772</v>
      </c>
      <c r="N239" s="17">
        <v>23.04</v>
      </c>
      <c r="O239" s="14">
        <f>M240+O237/3600*$A$361</f>
        <v>45.569839443639445</v>
      </c>
      <c r="P239" s="14">
        <f>N240+P237/3600*$A$361</f>
        <v>4.089440636272318</v>
      </c>
      <c r="Q239" s="14">
        <f>SIN($F$375)*COS(P240)*COS(O240+$B$375)+COS($F$375)*SIN(P240)</f>
        <v>0.07221990492118145</v>
      </c>
      <c r="R239" s="14" t="s">
        <v>106</v>
      </c>
      <c r="S239" s="8" t="s">
        <v>86</v>
      </c>
      <c r="T239" s="8" t="s">
        <v>89</v>
      </c>
      <c r="U239" s="8" t="s">
        <v>88</v>
      </c>
      <c r="V239" s="8" t="s">
        <v>89</v>
      </c>
      <c r="W239" s="8" t="s">
        <v>97</v>
      </c>
      <c r="X239" s="8"/>
    </row>
    <row r="240" spans="1:23" ht="12.75">
      <c r="A240" s="3"/>
      <c r="B240" s="3"/>
      <c r="C240" s="3"/>
      <c r="D240" s="3"/>
      <c r="E240" s="3"/>
      <c r="F240" s="3"/>
      <c r="M240" s="13">
        <f>(M237+M238/60+M239/3600)*15</f>
        <v>45.56988333333333</v>
      </c>
      <c r="N240" s="13">
        <f>N237+N238/60+N239/3600</f>
        <v>4.089733333333333</v>
      </c>
      <c r="O240">
        <f>RADIANS(O239)</f>
        <v>0.7953437378966893</v>
      </c>
      <c r="P240">
        <f>RADIANS(P239)</f>
        <v>0.0713742036678038</v>
      </c>
      <c r="R240">
        <f>DEGREES(ASIN(Q239))</f>
        <v>4.141501231497248</v>
      </c>
      <c r="S240">
        <f>RADIANS(R240)</f>
        <v>0.07228283246502687</v>
      </c>
      <c r="T240">
        <f>SIN($D$367)*COS(S237)*$A$364+SIN(S237)*$A$367</f>
        <v>-7.639073116476147E-06</v>
      </c>
      <c r="U240" s="15">
        <f>($A$388*U237-U238)*$V$12/COS(S240)</f>
        <v>-9.331792012672632E-05</v>
      </c>
      <c r="V240" s="15">
        <f>($A$388*V237-V238)*$V$12</f>
        <v>-2.255571442963303E-05</v>
      </c>
      <c r="W240">
        <f>360-W237</f>
        <v>314.2571532506</v>
      </c>
    </row>
    <row r="241" spans="1:24" ht="12.75">
      <c r="A241" s="3" t="s">
        <v>107</v>
      </c>
      <c r="B241" s="3" t="s">
        <v>107</v>
      </c>
      <c r="C241" s="3" t="s">
        <v>107</v>
      </c>
      <c r="D241" s="3" t="s">
        <v>107</v>
      </c>
      <c r="E241" s="3" t="s">
        <v>107</v>
      </c>
      <c r="F241" s="3" t="s">
        <v>107</v>
      </c>
      <c r="M241" s="3" t="s">
        <v>107</v>
      </c>
      <c r="N241" s="3" t="s">
        <v>171</v>
      </c>
      <c r="O241" s="3" t="s">
        <v>107</v>
      </c>
      <c r="P241" s="3" t="s">
        <v>107</v>
      </c>
      <c r="Q241" s="3" t="s">
        <v>107</v>
      </c>
      <c r="R241" s="3" t="s">
        <v>107</v>
      </c>
      <c r="S241" s="3" t="s">
        <v>107</v>
      </c>
      <c r="T241" s="3" t="s">
        <v>171</v>
      </c>
      <c r="U241" s="3" t="s">
        <v>107</v>
      </c>
      <c r="V241" s="3" t="s">
        <v>107</v>
      </c>
      <c r="W241" s="3" t="s">
        <v>107</v>
      </c>
      <c r="X241" s="3" t="s">
        <v>107</v>
      </c>
    </row>
    <row r="242" spans="1:24" ht="12.75">
      <c r="A242" s="3"/>
      <c r="B242" s="3"/>
      <c r="C242" s="3"/>
      <c r="D242" s="3"/>
      <c r="E242" s="3"/>
      <c r="F242" s="3"/>
      <c r="M242" s="16" t="s">
        <v>71</v>
      </c>
      <c r="N242" s="16" t="s">
        <v>106</v>
      </c>
      <c r="O242" s="16" t="s">
        <v>73</v>
      </c>
      <c r="P242" s="16" t="s">
        <v>74</v>
      </c>
      <c r="Q242" t="s">
        <v>81</v>
      </c>
      <c r="R242" t="s">
        <v>71</v>
      </c>
      <c r="S242" t="s">
        <v>85</v>
      </c>
      <c r="T242" t="s">
        <v>88</v>
      </c>
      <c r="U242" t="s">
        <v>92</v>
      </c>
      <c r="V242" t="s">
        <v>93</v>
      </c>
      <c r="W242" t="s">
        <v>71</v>
      </c>
      <c r="X242" t="s">
        <v>106</v>
      </c>
    </row>
    <row r="243" spans="1:24" ht="12.75">
      <c r="A243" s="30" t="s">
        <v>171</v>
      </c>
      <c r="B243" s="33">
        <v>36</v>
      </c>
      <c r="C243" s="34">
        <v>2.1</v>
      </c>
      <c r="D243" s="6" t="s">
        <v>132</v>
      </c>
      <c r="E243" s="36">
        <f>TRUNC(W246)</f>
        <v>148</v>
      </c>
      <c r="F243" s="37">
        <f>ABS(W246-E243)*60</f>
        <v>7.220110425995472</v>
      </c>
      <c r="M243" s="16">
        <v>14</v>
      </c>
      <c r="N243" s="16">
        <v>-36</v>
      </c>
      <c r="O243" s="16">
        <v>-0.5193</v>
      </c>
      <c r="P243" s="16">
        <v>-0.51786</v>
      </c>
      <c r="Q243">
        <f>COS(P246)*SIN(O246+$B$375)</f>
        <v>-0.42375209247096973</v>
      </c>
      <c r="R243">
        <f>DEGREES(ATAN2(Q244,Q243))+$C$375</f>
        <v>-148.13097341720317</v>
      </c>
      <c r="S243">
        <f>RADIANS(R244)</f>
        <v>3.6978120968651953</v>
      </c>
      <c r="T243">
        <f>(COS($D$367)+SIN($D$367)*SIN(S243)*TAN(S246))*$A$364-COS(S243)*TAN(S246)*$A$367</f>
        <v>8.029814703598412E-05</v>
      </c>
      <c r="U243">
        <f>COS(S243)*COS($D$388)*COS($D$367)+SIN(S243)*SIN($D$388)</f>
        <v>-0.33659881888605847</v>
      </c>
      <c r="V243">
        <f>COS($D$388)*COS($D$367)*(TAN($D$367)*COS(S246)-SIN(S243)*SIN(S246))+COS(S243)*SIN(S246)*SIN($D$388)</f>
        <v>0.48377308116747836</v>
      </c>
      <c r="W243">
        <f>DEGREES(U246+T243+S243)</f>
        <v>211.8796648262334</v>
      </c>
      <c r="X243">
        <f>DEGREES(V246+T246+S246)</f>
        <v>-36.43780265551042</v>
      </c>
    </row>
    <row r="244" spans="1:22" ht="12.75">
      <c r="A244" s="3" t="s">
        <v>104</v>
      </c>
      <c r="B244" s="3" t="s">
        <v>105</v>
      </c>
      <c r="C244" s="3" t="s">
        <v>102</v>
      </c>
      <c r="D244" s="3" t="s">
        <v>106</v>
      </c>
      <c r="E244" s="3" t="s">
        <v>105</v>
      </c>
      <c r="F244" s="3" t="s">
        <v>102</v>
      </c>
      <c r="M244" s="16">
        <v>6</v>
      </c>
      <c r="N244" s="16">
        <v>-22</v>
      </c>
      <c r="O244" t="s">
        <v>77</v>
      </c>
      <c r="P244" t="s">
        <v>78</v>
      </c>
      <c r="Q244">
        <f>COS($F$375)*COS(P246)*COS(O246+$B$375)-SIN($F$375)*SIN(P246)</f>
        <v>-0.6838867676265868</v>
      </c>
      <c r="R244">
        <f>R243-360*INT(R243/360)</f>
        <v>211.86902658279683</v>
      </c>
      <c r="U244">
        <f>COS(S243)*COS($D$383)*COS($D$367)+SIN(S243)*SIN($D$383)</f>
        <v>-0.8588054433438774</v>
      </c>
      <c r="V244">
        <f>COS($D$383)*COS($D$367)*(TAN($D$367)*COS(S246)-SIN(S243)*SIN(S246))+COS(S243)*SIN(S246)*SIN($D$383)</f>
        <v>0.44600284744244445</v>
      </c>
    </row>
    <row r="245" spans="1:24" ht="12.75">
      <c r="A245" s="9">
        <f>($C$370+E243+F243/60)-INT(($C$370+E243+F243/60)/360)*360</f>
        <v>55.03189490709593</v>
      </c>
      <c r="B245" s="22">
        <f>TRUNC(A245)</f>
        <v>55</v>
      </c>
      <c r="C245" s="23">
        <f>(A245-B245)*60</f>
        <v>1.9136944257559207</v>
      </c>
      <c r="D245" s="38" t="str">
        <f>IF(X243&gt;=0,"N","S")</f>
        <v>S</v>
      </c>
      <c r="E245" s="22">
        <f>ABS(TRUNC(X243))</f>
        <v>36</v>
      </c>
      <c r="F245" s="23">
        <f>ABS(X243-TRUNC(X243))*60</f>
        <v>26.268159330625025</v>
      </c>
      <c r="M245" s="17">
        <v>40.949</v>
      </c>
      <c r="N245" s="17">
        <v>-11.84</v>
      </c>
      <c r="O245" s="14">
        <f>M246+O243/3600*$A$361</f>
        <v>211.66869095034974</v>
      </c>
      <c r="P245" s="14">
        <f>N246+P243/3600*$A$361</f>
        <v>-36.37188008704384</v>
      </c>
      <c r="Q245" s="14">
        <f>SIN($F$375)*COS(P246)*COS(O246+$B$375)+COS($F$375)*SIN(P246)</f>
        <v>-0.5939133381156999</v>
      </c>
      <c r="R245" s="14" t="s">
        <v>106</v>
      </c>
      <c r="S245" s="8" t="s">
        <v>86</v>
      </c>
      <c r="T245" s="8" t="s">
        <v>89</v>
      </c>
      <c r="U245" s="8" t="s">
        <v>88</v>
      </c>
      <c r="V245" s="8" t="s">
        <v>89</v>
      </c>
      <c r="W245" s="8" t="s">
        <v>97</v>
      </c>
      <c r="X245" s="8"/>
    </row>
    <row r="246" spans="1:23" ht="12.75">
      <c r="A246" s="3"/>
      <c r="B246" s="3"/>
      <c r="C246" s="3"/>
      <c r="D246" s="3"/>
      <c r="E246" s="3"/>
      <c r="F246" s="3"/>
      <c r="M246" s="13">
        <f>(M243+M244/60+M245/3600)*15</f>
        <v>211.67062083333332</v>
      </c>
      <c r="N246" s="13">
        <f>N243+N244/60+N245/3600</f>
        <v>-36.369955555555556</v>
      </c>
      <c r="O246">
        <f>RADIANS(O245)</f>
        <v>3.694315580469928</v>
      </c>
      <c r="P246">
        <f>RADIANS(P245)</f>
        <v>-0.6348090626594768</v>
      </c>
      <c r="R246">
        <f>DEGREES(ASIN(Q245))</f>
        <v>-36.4352051475648</v>
      </c>
      <c r="S246">
        <f>RADIANS(R246)</f>
        <v>-0.6359142934645922</v>
      </c>
      <c r="T246">
        <f>SIN($D$367)*COS(S243)*$A$364+SIN(S243)*$A$367</f>
        <v>-1.8208713044140008E-06</v>
      </c>
      <c r="U246" s="15">
        <f>($A$388*U243-U244)*$V$12/COS(S246)</f>
        <v>0.00010537422756049119</v>
      </c>
      <c r="V246" s="15">
        <f>($A$388*V243-V244)*$V$12</f>
        <v>-4.351419469338935E-05</v>
      </c>
      <c r="W246">
        <f>360-W243</f>
        <v>148.1203351737666</v>
      </c>
    </row>
    <row r="247" spans="1:24" ht="12.75">
      <c r="A247" s="3" t="s">
        <v>107</v>
      </c>
      <c r="B247" s="3" t="s">
        <v>107</v>
      </c>
      <c r="C247" s="3" t="s">
        <v>107</v>
      </c>
      <c r="D247" s="3" t="s">
        <v>107</v>
      </c>
      <c r="E247" s="3" t="s">
        <v>107</v>
      </c>
      <c r="F247" s="3" t="s">
        <v>107</v>
      </c>
      <c r="M247" s="3" t="s">
        <v>107</v>
      </c>
      <c r="N247" s="3" t="s">
        <v>172</v>
      </c>
      <c r="O247" s="3" t="s">
        <v>107</v>
      </c>
      <c r="P247" s="3" t="s">
        <v>107</v>
      </c>
      <c r="Q247" s="3" t="s">
        <v>107</v>
      </c>
      <c r="R247" s="3" t="s">
        <v>107</v>
      </c>
      <c r="S247" s="3" t="s">
        <v>107</v>
      </c>
      <c r="T247" s="3" t="s">
        <v>172</v>
      </c>
      <c r="U247" s="3" t="s">
        <v>107</v>
      </c>
      <c r="V247" s="3" t="s">
        <v>107</v>
      </c>
      <c r="W247" s="3" t="s">
        <v>107</v>
      </c>
      <c r="X247" s="3" t="s">
        <v>107</v>
      </c>
    </row>
    <row r="248" spans="1:24" ht="12.75">
      <c r="A248" s="3"/>
      <c r="B248" s="3"/>
      <c r="C248" s="3"/>
      <c r="D248" s="3"/>
      <c r="E248" s="3"/>
      <c r="F248" s="3"/>
      <c r="M248" s="16" t="s">
        <v>71</v>
      </c>
      <c r="N248" s="16" t="s">
        <v>106</v>
      </c>
      <c r="O248" s="16" t="s">
        <v>73</v>
      </c>
      <c r="P248" s="16" t="s">
        <v>74</v>
      </c>
      <c r="Q248" t="s">
        <v>81</v>
      </c>
      <c r="R248" t="s">
        <v>71</v>
      </c>
      <c r="S248" t="s">
        <v>85</v>
      </c>
      <c r="T248" t="s">
        <v>88</v>
      </c>
      <c r="U248" t="s">
        <v>92</v>
      </c>
      <c r="V248" t="s">
        <v>93</v>
      </c>
      <c r="W248" t="s">
        <v>71</v>
      </c>
      <c r="X248" t="s">
        <v>106</v>
      </c>
    </row>
    <row r="249" spans="1:24" ht="12.75">
      <c r="A249" s="30" t="s">
        <v>172</v>
      </c>
      <c r="B249" s="33">
        <v>24</v>
      </c>
      <c r="C249" s="34">
        <v>1.7</v>
      </c>
      <c r="D249" s="6" t="s">
        <v>132</v>
      </c>
      <c r="E249" s="36">
        <f>TRUNC(W252)</f>
        <v>221</v>
      </c>
      <c r="F249" s="37">
        <f>ABS(W252-E249)*60</f>
        <v>39.73474662030583</v>
      </c>
      <c r="M249" s="16">
        <v>9</v>
      </c>
      <c r="N249" s="16">
        <v>-69</v>
      </c>
      <c r="O249" s="16">
        <v>-0.15766</v>
      </c>
      <c r="P249" s="16">
        <v>0.10891</v>
      </c>
      <c r="Q249">
        <f>COS(P252)*SIN(O252+$B$375)</f>
        <v>0.2302248019177824</v>
      </c>
      <c r="R249">
        <f>DEGREES(ATAN2(Q250,Q249))+$C$375</f>
        <v>138.3365104980167</v>
      </c>
      <c r="S249">
        <f>RADIANS(R250)</f>
        <v>2.414427583910092</v>
      </c>
      <c r="T249">
        <f>(COS($D$367)+SIN($D$367)*SIN(S249)*TAN(S252))*$A$364-COS(S249)*TAN(S252)*$A$367</f>
        <v>7.677896024832701E-05</v>
      </c>
      <c r="U249">
        <f>COS(S249)*COS($D$388)*COS($D$367)+SIN(S249)*SIN($D$388)</f>
        <v>0.8034170260697947</v>
      </c>
      <c r="V249">
        <f>COS($D$388)*COS($D$367)*(TAN($D$367)*COS(S252)-SIN(S249)*SIN(S252))+COS(S249)*SIN(S252)*SIN($D$388)</f>
        <v>0.5208651600941943</v>
      </c>
      <c r="W249">
        <f>DEGREES(U252+T249+S249)</f>
        <v>138.3377542229949</v>
      </c>
      <c r="X249">
        <f>DEGREES(V252+T252+S252)</f>
        <v>-69.78008670175507</v>
      </c>
    </row>
    <row r="250" spans="1:22" ht="12.75">
      <c r="A250" s="3" t="s">
        <v>104</v>
      </c>
      <c r="B250" s="3" t="s">
        <v>105</v>
      </c>
      <c r="C250" s="3" t="s">
        <v>102</v>
      </c>
      <c r="D250" s="3" t="s">
        <v>106</v>
      </c>
      <c r="E250" s="3" t="s">
        <v>105</v>
      </c>
      <c r="F250" s="3" t="s">
        <v>102</v>
      </c>
      <c r="M250" s="16">
        <v>13</v>
      </c>
      <c r="N250" s="16">
        <v>-43</v>
      </c>
      <c r="O250" t="s">
        <v>77</v>
      </c>
      <c r="P250" t="s">
        <v>78</v>
      </c>
      <c r="Q250">
        <f>COS($F$375)*COS(P252)*COS(O252+$B$375)-SIN($F$375)*SIN(P252)</f>
        <v>-0.2579523357042266</v>
      </c>
      <c r="R250">
        <f>R249-360*INT(R249/360)</f>
        <v>138.3365104980167</v>
      </c>
      <c r="U250">
        <f>COS(S249)*COS($D$383)*COS($D$367)+SIN(S249)*SIN($D$383)</f>
        <v>0.20504696785065768</v>
      </c>
      <c r="V250">
        <f>COS($D$383)*COS($D$367)*(TAN($D$367)*COS(S252)-SIN(S249)*SIN(S252))+COS(S249)*SIN(S252)*SIN($D$383)</f>
        <v>0.9694851716585274</v>
      </c>
    </row>
    <row r="251" spans="1:24" ht="12.75">
      <c r="A251" s="9">
        <f>($C$370+E249+F249/60)-INT(($C$370+E249+F249/60)/360)*360</f>
        <v>128.5738055103344</v>
      </c>
      <c r="B251" s="22">
        <f>TRUNC(A251)</f>
        <v>128</v>
      </c>
      <c r="C251" s="23">
        <f>(A251-B251)*60</f>
        <v>34.42833062006457</v>
      </c>
      <c r="D251" s="38" t="str">
        <f>IF(X249&gt;=0,"N","S")</f>
        <v>S</v>
      </c>
      <c r="E251" s="22">
        <f>ABS(TRUNC(X249))</f>
        <v>69</v>
      </c>
      <c r="F251" s="23">
        <f>ABS(X249-TRUNC(X249))*60</f>
        <v>46.80520210530403</v>
      </c>
      <c r="M251" s="17">
        <v>11.976</v>
      </c>
      <c r="N251" s="17">
        <v>-1.95</v>
      </c>
      <c r="O251" s="14">
        <f>M252+O249/3600*$A$361</f>
        <v>138.29931408559372</v>
      </c>
      <c r="P251" s="14">
        <f>N252+P249/3600*$A$361</f>
        <v>-69.71680358933999</v>
      </c>
      <c r="Q251" s="14">
        <f>SIN($F$375)*COS(P252)*COS(O252+$B$375)+COS($F$375)*SIN(P252)</f>
        <v>-0.9383267730842235</v>
      </c>
      <c r="R251" s="14" t="s">
        <v>106</v>
      </c>
      <c r="S251" s="8" t="s">
        <v>86</v>
      </c>
      <c r="T251" s="8" t="s">
        <v>89</v>
      </c>
      <c r="U251" s="8" t="s">
        <v>88</v>
      </c>
      <c r="V251" s="8" t="s">
        <v>89</v>
      </c>
      <c r="W251" s="8" t="s">
        <v>97</v>
      </c>
      <c r="X251" s="8"/>
    </row>
    <row r="252" spans="1:23" ht="12.75">
      <c r="A252" s="3"/>
      <c r="B252" s="3"/>
      <c r="C252" s="3"/>
      <c r="D252" s="3"/>
      <c r="E252" s="3"/>
      <c r="F252" s="3"/>
      <c r="M252" s="13">
        <f>(M249+M250/60+M251/3600)*15</f>
        <v>138.2999</v>
      </c>
      <c r="N252" s="13">
        <f>N249+N250/60+N251/3600</f>
        <v>-69.71720833333333</v>
      </c>
      <c r="O252">
        <f>RADIANS(O251)</f>
        <v>2.4137783840433813</v>
      </c>
      <c r="P252">
        <f>RADIANS(P251)</f>
        <v>-1.2167877666001836</v>
      </c>
      <c r="R252">
        <f>DEGREES(ASIN(Q251))</f>
        <v>-69.77243199976289</v>
      </c>
      <c r="S252">
        <f>RADIANS(R252)</f>
        <v>-1.217758665519714</v>
      </c>
      <c r="T252">
        <f>SIN($D$367)*COS(S249)*$A$364+SIN(S249)*$A$367</f>
        <v>-3.8131254267729896E-05</v>
      </c>
      <c r="U252" s="15">
        <f>($A$388*U249-U250)*$V$12/COS(S252)</f>
        <v>-5.507186438970716E-05</v>
      </c>
      <c r="V252" s="15">
        <f>($A$388*V249-V250)*$V$12</f>
        <v>-9.546849875487957E-05</v>
      </c>
      <c r="W252">
        <f>360-W249</f>
        <v>221.6622457770051</v>
      </c>
    </row>
    <row r="253" spans="1:24" ht="12.75">
      <c r="A253" s="3" t="s">
        <v>107</v>
      </c>
      <c r="B253" s="3" t="s">
        <v>107</v>
      </c>
      <c r="C253" s="3" t="s">
        <v>107</v>
      </c>
      <c r="D253" s="3" t="s">
        <v>107</v>
      </c>
      <c r="E253" s="3" t="s">
        <v>107</v>
      </c>
      <c r="F253" s="3" t="s">
        <v>107</v>
      </c>
      <c r="M253" s="3" t="s">
        <v>107</v>
      </c>
      <c r="N253" s="3" t="s">
        <v>173</v>
      </c>
      <c r="O253" s="3" t="s">
        <v>107</v>
      </c>
      <c r="P253" s="3" t="s">
        <v>107</v>
      </c>
      <c r="Q253" s="3" t="s">
        <v>107</v>
      </c>
      <c r="R253" s="3" t="s">
        <v>107</v>
      </c>
      <c r="S253" s="3" t="s">
        <v>107</v>
      </c>
      <c r="T253" s="3" t="s">
        <v>173</v>
      </c>
      <c r="U253" s="3" t="s">
        <v>107</v>
      </c>
      <c r="V253" s="3" t="s">
        <v>107</v>
      </c>
      <c r="W253" s="3" t="s">
        <v>107</v>
      </c>
      <c r="X253" s="3" t="s">
        <v>107</v>
      </c>
    </row>
    <row r="254" spans="1:24" ht="12.75">
      <c r="A254" s="3"/>
      <c r="B254" s="3"/>
      <c r="C254" s="3"/>
      <c r="D254" s="3"/>
      <c r="E254" s="3"/>
      <c r="F254" s="3"/>
      <c r="M254" s="16" t="s">
        <v>71</v>
      </c>
      <c r="N254" s="16" t="s">
        <v>106</v>
      </c>
      <c r="O254" s="16" t="s">
        <v>73</v>
      </c>
      <c r="P254" s="16" t="s">
        <v>74</v>
      </c>
      <c r="Q254" t="s">
        <v>81</v>
      </c>
      <c r="R254" t="s">
        <v>71</v>
      </c>
      <c r="S254" t="s">
        <v>85</v>
      </c>
      <c r="T254" t="s">
        <v>88</v>
      </c>
      <c r="U254" t="s">
        <v>92</v>
      </c>
      <c r="V254" t="s">
        <v>93</v>
      </c>
      <c r="W254" t="s">
        <v>71</v>
      </c>
      <c r="X254" t="s">
        <v>106</v>
      </c>
    </row>
    <row r="255" spans="1:24" ht="12.75">
      <c r="A255" s="30" t="s">
        <v>173</v>
      </c>
      <c r="B255" s="33">
        <v>9</v>
      </c>
      <c r="C255" s="34">
        <v>1.8</v>
      </c>
      <c r="D255" s="6" t="s">
        <v>132</v>
      </c>
      <c r="E255" s="36">
        <f>TRUNC(W258)</f>
        <v>308</v>
      </c>
      <c r="F255" s="37">
        <f>ABS(W258-E255)*60</f>
        <v>40.90961544773563</v>
      </c>
      <c r="M255" s="16">
        <v>3</v>
      </c>
      <c r="N255" s="16">
        <v>49</v>
      </c>
      <c r="O255" s="16">
        <v>0.02411</v>
      </c>
      <c r="P255" s="16">
        <v>-0.02601</v>
      </c>
      <c r="Q255">
        <f>COS(P258)*SIN(O258+$B$375)</f>
        <v>0.5021585642290317</v>
      </c>
      <c r="R255">
        <f>DEGREES(ATAN2(Q256,Q255))+$C$375</f>
        <v>51.32111533310738</v>
      </c>
      <c r="S255">
        <f>RADIANS(R256)</f>
        <v>0.8957224383584702</v>
      </c>
      <c r="T255">
        <f>(COS($D$367)+SIN($D$367)*SIN(S255)*TAN(S258))*$A$364-COS(S255)*TAN(S258)*$A$367</f>
        <v>9.599610767148454E-05</v>
      </c>
      <c r="U255">
        <f>COS(S255)*COS($D$388)*COS($D$367)+SIN(S255)*SIN($D$388)</f>
        <v>0.6295172930607408</v>
      </c>
      <c r="V255">
        <f>COS($D$388)*COS($D$367)*(TAN($D$367)*COS(S258)-SIN(S255)*SIN(S258))+COS(S255)*SIN(S258)*SIN($D$388)</f>
        <v>0.5319988742509358</v>
      </c>
      <c r="W255">
        <f>DEGREES(U258+T255+S255)</f>
        <v>51.3181730758711</v>
      </c>
      <c r="X255">
        <f>DEGREES(V258+T258+S258)</f>
        <v>49.90571392686622</v>
      </c>
    </row>
    <row r="256" spans="1:22" ht="12.75">
      <c r="A256" s="3" t="s">
        <v>104</v>
      </c>
      <c r="B256" s="3" t="s">
        <v>105</v>
      </c>
      <c r="C256" s="3" t="s">
        <v>102</v>
      </c>
      <c r="D256" s="3" t="s">
        <v>106</v>
      </c>
      <c r="E256" s="3" t="s">
        <v>105</v>
      </c>
      <c r="F256" s="3" t="s">
        <v>102</v>
      </c>
      <c r="M256" s="16">
        <v>24</v>
      </c>
      <c r="N256" s="16">
        <v>51</v>
      </c>
      <c r="O256" t="s">
        <v>77</v>
      </c>
      <c r="P256" t="s">
        <v>78</v>
      </c>
      <c r="Q256">
        <f>COS($F$375)*COS(P258)*COS(O258+$B$375)-SIN($F$375)*SIN(P258)</f>
        <v>0.40323523199957745</v>
      </c>
      <c r="R256">
        <f>R255-360*INT(R255/360)</f>
        <v>51.32111533310738</v>
      </c>
      <c r="U256">
        <f>COS(S255)*COS($D$383)*COS($D$367)+SIN(S255)*SIN($D$383)</f>
        <v>0.9655302747906929</v>
      </c>
      <c r="V256">
        <f>COS($D$383)*COS($D$367)*(TAN($D$367)*COS(S258)-SIN(S255)*SIN(S258))+COS(S255)*SIN(S258)*SIN($D$383)</f>
        <v>0.2532417777592302</v>
      </c>
    </row>
    <row r="257" spans="1:24" ht="12.75">
      <c r="A257" s="9">
        <f>($C$370+E255+F255/60)-INT(($C$370+E255+F255/60)/360)*360</f>
        <v>215.59338665745827</v>
      </c>
      <c r="B257" s="22">
        <f>TRUNC(A257)</f>
        <v>215</v>
      </c>
      <c r="C257" s="23">
        <f>(A257-B257)*60</f>
        <v>35.60319944749608</v>
      </c>
      <c r="D257" s="38" t="str">
        <f>IF(X255&gt;=0,"N","S")</f>
        <v>N</v>
      </c>
      <c r="E257" s="22">
        <f>ABS(TRUNC(X255))</f>
        <v>49</v>
      </c>
      <c r="F257" s="23">
        <f>ABS(X255-TRUNC(X255))*60</f>
        <v>54.342835611973186</v>
      </c>
      <c r="M257" s="17">
        <v>19.37</v>
      </c>
      <c r="N257" s="17">
        <v>40.25</v>
      </c>
      <c r="O257" s="14">
        <f>M258+O255/3600*$A$361</f>
        <v>51.08079793371603</v>
      </c>
      <c r="P257" s="14">
        <f>N258+P255/3600*$A$361</f>
        <v>49.861083894172154</v>
      </c>
      <c r="Q257" s="14">
        <f>SIN($F$375)*COS(P258)*COS(O258+$B$375)+COS($F$375)*SIN(P258)</f>
        <v>0.7650085777595467</v>
      </c>
      <c r="R257" s="14" t="s">
        <v>106</v>
      </c>
      <c r="S257" s="8" t="s">
        <v>86</v>
      </c>
      <c r="T257" s="8" t="s">
        <v>89</v>
      </c>
      <c r="U257" s="8" t="s">
        <v>88</v>
      </c>
      <c r="V257" s="8" t="s">
        <v>89</v>
      </c>
      <c r="W257" s="8" t="s">
        <v>97</v>
      </c>
      <c r="X257" s="8"/>
    </row>
    <row r="258" spans="1:23" ht="12.75">
      <c r="A258" s="3"/>
      <c r="B258" s="3"/>
      <c r="C258" s="3"/>
      <c r="D258" s="3"/>
      <c r="E258" s="3"/>
      <c r="F258" s="3"/>
      <c r="M258" s="13">
        <f>(M255+M256/60+M257/3600)*15</f>
        <v>51.080708333333334</v>
      </c>
      <c r="N258" s="13">
        <f>N255+N256/60+N257/3600</f>
        <v>49.861180555555556</v>
      </c>
      <c r="O258">
        <f>RADIANS(O257)</f>
        <v>0.8915281084892609</v>
      </c>
      <c r="P258">
        <f>RADIANS(P257)</f>
        <v>0.8702400825664199</v>
      </c>
      <c r="R258">
        <f>DEGREES(ASIN(Q257))</f>
        <v>49.90775513630044</v>
      </c>
      <c r="S258">
        <f>RADIANS(R258)</f>
        <v>0.8710546494075541</v>
      </c>
      <c r="T258">
        <f>SIN($D$367)*COS(S255)*$A$364+SIN(S255)*$A$367</f>
        <v>-1.134539087074122E-05</v>
      </c>
      <c r="U258" s="15">
        <f>($A$388*U255-U256)*$V$12/COS(S258)</f>
        <v>-0.00014734818388529826</v>
      </c>
      <c r="V258" s="15">
        <f>($A$388*V255-V256)*$V$12</f>
        <v>-2.428043447924289E-05</v>
      </c>
      <c r="W258">
        <f>360-W255</f>
        <v>308.6818269241289</v>
      </c>
    </row>
    <row r="259" spans="1:24" ht="12.75">
      <c r="A259" s="3" t="s">
        <v>107</v>
      </c>
      <c r="B259" s="3" t="s">
        <v>107</v>
      </c>
      <c r="C259" s="3" t="s">
        <v>107</v>
      </c>
      <c r="D259" s="3" t="s">
        <v>107</v>
      </c>
      <c r="E259" s="3" t="s">
        <v>107</v>
      </c>
      <c r="F259" s="3" t="s">
        <v>107</v>
      </c>
      <c r="M259" s="3" t="s">
        <v>107</v>
      </c>
      <c r="N259" s="3" t="s">
        <v>174</v>
      </c>
      <c r="O259" s="3" t="s">
        <v>107</v>
      </c>
      <c r="P259" s="3" t="s">
        <v>107</v>
      </c>
      <c r="Q259" s="3" t="s">
        <v>107</v>
      </c>
      <c r="R259" s="3" t="s">
        <v>107</v>
      </c>
      <c r="S259" s="3" t="s">
        <v>107</v>
      </c>
      <c r="T259" s="3" t="s">
        <v>174</v>
      </c>
      <c r="U259" s="3" t="s">
        <v>107</v>
      </c>
      <c r="V259" s="3" t="s">
        <v>107</v>
      </c>
      <c r="W259" s="3" t="s">
        <v>107</v>
      </c>
      <c r="X259" s="3" t="s">
        <v>107</v>
      </c>
    </row>
    <row r="260" spans="1:24" ht="12.75">
      <c r="A260" s="3"/>
      <c r="B260" s="3"/>
      <c r="C260" s="3"/>
      <c r="D260" s="3"/>
      <c r="E260" s="3"/>
      <c r="F260" s="3"/>
      <c r="M260" s="16" t="s">
        <v>71</v>
      </c>
      <c r="N260" s="16" t="s">
        <v>106</v>
      </c>
      <c r="O260" s="16" t="s">
        <v>73</v>
      </c>
      <c r="P260" s="16" t="s">
        <v>74</v>
      </c>
      <c r="Q260" t="s">
        <v>81</v>
      </c>
      <c r="R260" t="s">
        <v>71</v>
      </c>
      <c r="S260" t="s">
        <v>85</v>
      </c>
      <c r="T260" t="s">
        <v>88</v>
      </c>
      <c r="U260" t="s">
        <v>92</v>
      </c>
      <c r="V260" t="s">
        <v>93</v>
      </c>
      <c r="W260" t="s">
        <v>71</v>
      </c>
      <c r="X260" t="s">
        <v>106</v>
      </c>
    </row>
    <row r="261" spans="1:24" ht="12.75">
      <c r="A261" s="30" t="s">
        <v>174</v>
      </c>
      <c r="B261" s="33">
        <v>50</v>
      </c>
      <c r="C261" s="34">
        <v>2</v>
      </c>
      <c r="D261" s="6" t="s">
        <v>132</v>
      </c>
      <c r="E261" s="36">
        <f>TRUNC(W264)</f>
        <v>75</v>
      </c>
      <c r="F261" s="37">
        <f>ABS(W264-E261)*60</f>
        <v>58.12410230935711</v>
      </c>
      <c r="M261" s="16">
        <v>18</v>
      </c>
      <c r="N261" s="16">
        <v>-26</v>
      </c>
      <c r="O261" s="16">
        <v>0.01387</v>
      </c>
      <c r="P261" s="16">
        <v>-0.05265</v>
      </c>
      <c r="Q261">
        <f>COS(P264)*SIN(O264+$B$375)</f>
        <v>-0.8702493275062929</v>
      </c>
      <c r="R261">
        <f>DEGREES(ATAN2(Q262,Q261))+$C$375</f>
        <v>-75.97645794935003</v>
      </c>
      <c r="S261">
        <f>RADIANS(R262)</f>
        <v>4.957145961960409</v>
      </c>
      <c r="T261">
        <f>(COS($D$367)+SIN($D$367)*SIN(S261)*TAN(S264))*$A$364-COS(S261)*TAN(S264)*$A$367</f>
        <v>5.81336160168594E-05</v>
      </c>
      <c r="U261">
        <f>COS(S261)*COS($D$388)*COS($D$367)+SIN(S261)*SIN($D$388)</f>
        <v>-0.9953347605400545</v>
      </c>
      <c r="V261">
        <f>COS($D$388)*COS($D$367)*(TAN($D$367)*COS(S264)-SIN(S261)*SIN(S264))+COS(S261)*SIN(S264)*SIN($D$388)</f>
        <v>-0.0959230750694452</v>
      </c>
      <c r="W261">
        <f>DEGREES(U264+T261+S261)</f>
        <v>284.0312649615107</v>
      </c>
      <c r="X261">
        <f>DEGREES(V264+T264+S264)</f>
        <v>-26.276269492649593</v>
      </c>
    </row>
    <row r="262" spans="1:22" ht="12.75">
      <c r="A262" s="3" t="s">
        <v>104</v>
      </c>
      <c r="B262" s="3" t="s">
        <v>105</v>
      </c>
      <c r="C262" s="3" t="s">
        <v>102</v>
      </c>
      <c r="D262" s="3" t="s">
        <v>106</v>
      </c>
      <c r="E262" s="3" t="s">
        <v>105</v>
      </c>
      <c r="F262" s="3" t="s">
        <v>102</v>
      </c>
      <c r="M262" s="16">
        <v>55</v>
      </c>
      <c r="N262" s="16">
        <v>-17</v>
      </c>
      <c r="O262" t="s">
        <v>77</v>
      </c>
      <c r="P262" t="s">
        <v>78</v>
      </c>
      <c r="Q262">
        <f>COS($F$375)*COS(P264)*COS(O264+$B$375)-SIN($F$375)*SIN(P264)</f>
        <v>0.21597481826632273</v>
      </c>
      <c r="R262">
        <f>R261-360*INT(R261/360)</f>
        <v>284.02354205064995</v>
      </c>
      <c r="U262">
        <f>COS(S261)*COS($D$383)*COS($D$367)+SIN(S261)*SIN($D$383)</f>
        <v>-0.7083575140979993</v>
      </c>
      <c r="V262">
        <f>COS($D$383)*COS($D$367)*(TAN($D$367)*COS(S264)-SIN(S261)*SIN(S264))+COS(S261)*SIN(S264)*SIN($D$383)</f>
        <v>-0.11097442631013607</v>
      </c>
    </row>
    <row r="263" spans="1:24" ht="12.75">
      <c r="A263" s="9">
        <f>($C$370+E261+F261/60)-INT(($C$370+E261+F261/60)/360)*360</f>
        <v>342.8802947718186</v>
      </c>
      <c r="B263" s="22">
        <f>TRUNC(A263)</f>
        <v>342</v>
      </c>
      <c r="C263" s="23">
        <f>(A263-B263)*60</f>
        <v>52.81768630911756</v>
      </c>
      <c r="D263" s="38" t="str">
        <f>IF(X261&gt;=0,"N","S")</f>
        <v>S</v>
      </c>
      <c r="E263" s="22">
        <f>ABS(TRUNC(X261))</f>
        <v>26</v>
      </c>
      <c r="F263" s="23">
        <f>ABS(X261-TRUNC(X261))*60</f>
        <v>16.576169558975593</v>
      </c>
      <c r="M263" s="17">
        <v>15.926</v>
      </c>
      <c r="N263" s="17">
        <v>-48.2</v>
      </c>
      <c r="O263" s="14">
        <f>M264+O261/3600*$A$361</f>
        <v>283.8164098786386</v>
      </c>
      <c r="P263" s="14">
        <f>N264+P261/3600*$A$361</f>
        <v>-26.29691788626822</v>
      </c>
      <c r="Q263" s="14">
        <f>SIN($F$375)*COS(P264)*COS(O264+$B$375)+COS($F$375)*SIN(P264)</f>
        <v>-0.44274257289047064</v>
      </c>
      <c r="R263" s="14" t="s">
        <v>106</v>
      </c>
      <c r="S263" s="8" t="s">
        <v>86</v>
      </c>
      <c r="T263" s="8" t="s">
        <v>89</v>
      </c>
      <c r="U263" s="8" t="s">
        <v>88</v>
      </c>
      <c r="V263" s="8" t="s">
        <v>89</v>
      </c>
      <c r="W263" s="8" t="s">
        <v>97</v>
      </c>
      <c r="X263" s="8"/>
    </row>
    <row r="264" spans="1:23" ht="12.75">
      <c r="A264" s="3"/>
      <c r="B264" s="3"/>
      <c r="C264" s="3"/>
      <c r="D264" s="3"/>
      <c r="E264" s="3"/>
      <c r="F264" s="3"/>
      <c r="M264" s="13">
        <f>(M261+M262/60+M263/3600)*15</f>
        <v>283.81635833333337</v>
      </c>
      <c r="N264" s="13">
        <f>N261+N262/60+N263/3600</f>
        <v>-26.296722222222225</v>
      </c>
      <c r="O264">
        <f>RADIANS(O263)</f>
        <v>4.953530823572003</v>
      </c>
      <c r="P264">
        <f>RADIANS(P263)</f>
        <v>-0.45896780024196815</v>
      </c>
      <c r="R264">
        <f>DEGREES(ASIN(Q263))</f>
        <v>-26.278999441342517</v>
      </c>
      <c r="S264">
        <f>RADIANS(R264)</f>
        <v>-0.45865506438117737</v>
      </c>
      <c r="T264">
        <f>SIN($D$367)*COS(S261)*$A$364+SIN(S261)*$A$367</f>
        <v>3.677881292469809E-05</v>
      </c>
      <c r="U264" s="15">
        <f>($A$388*U261-U262)*$V$12/COS(S264)</f>
        <v>7.665660634218278E-05</v>
      </c>
      <c r="V264" s="15">
        <f>($A$388*V261-V262)*$V$12</f>
        <v>1.0867780177344838E-05</v>
      </c>
      <c r="W264">
        <f>360-W261</f>
        <v>75.96873503848929</v>
      </c>
    </row>
    <row r="265" spans="1:24" ht="12.75">
      <c r="A265" s="3" t="s">
        <v>107</v>
      </c>
      <c r="B265" s="3" t="s">
        <v>107</v>
      </c>
      <c r="C265" s="3" t="s">
        <v>107</v>
      </c>
      <c r="D265" s="3" t="s">
        <v>107</v>
      </c>
      <c r="E265" s="3" t="s">
        <v>107</v>
      </c>
      <c r="F265" s="3" t="s">
        <v>107</v>
      </c>
      <c r="M265" s="3" t="s">
        <v>107</v>
      </c>
      <c r="N265" s="3" t="s">
        <v>175</v>
      </c>
      <c r="O265" s="3" t="s">
        <v>107</v>
      </c>
      <c r="P265" s="3" t="s">
        <v>107</v>
      </c>
      <c r="Q265" s="3" t="s">
        <v>107</v>
      </c>
      <c r="R265" s="3" t="s">
        <v>107</v>
      </c>
      <c r="S265" s="3" t="s">
        <v>107</v>
      </c>
      <c r="T265" s="3" t="s">
        <v>175</v>
      </c>
      <c r="U265" s="3" t="s">
        <v>107</v>
      </c>
      <c r="V265" s="3" t="s">
        <v>107</v>
      </c>
      <c r="W265" s="3" t="s">
        <v>107</v>
      </c>
      <c r="X265" s="3" t="s">
        <v>107</v>
      </c>
    </row>
    <row r="266" spans="1:24" ht="12.75">
      <c r="A266" s="3"/>
      <c r="B266" s="3"/>
      <c r="C266" s="3"/>
      <c r="D266" s="3"/>
      <c r="E266" s="3"/>
      <c r="F266" s="3"/>
      <c r="M266" s="16" t="s">
        <v>71</v>
      </c>
      <c r="N266" s="16" t="s">
        <v>106</v>
      </c>
      <c r="O266" s="16" t="s">
        <v>73</v>
      </c>
      <c r="P266" s="16" t="s">
        <v>74</v>
      </c>
      <c r="Q266" t="s">
        <v>81</v>
      </c>
      <c r="R266" t="s">
        <v>71</v>
      </c>
      <c r="S266" t="s">
        <v>85</v>
      </c>
      <c r="T266" t="s">
        <v>88</v>
      </c>
      <c r="U266" t="s">
        <v>92</v>
      </c>
      <c r="V266" t="s">
        <v>93</v>
      </c>
      <c r="W266" t="s">
        <v>71</v>
      </c>
      <c r="X266" t="s">
        <v>106</v>
      </c>
    </row>
    <row r="267" spans="1:24" ht="12.75">
      <c r="A267" s="30" t="s">
        <v>175</v>
      </c>
      <c r="B267" s="33">
        <v>52</v>
      </c>
      <c r="C267" s="34">
        <v>1.9</v>
      </c>
      <c r="D267" s="6" t="s">
        <v>132</v>
      </c>
      <c r="E267" s="36">
        <f>TRUNC(W270)</f>
        <v>53</v>
      </c>
      <c r="F267" s="37">
        <f>ABS(W270-E267)*60</f>
        <v>19.12533216732413</v>
      </c>
      <c r="M267" s="16">
        <v>20</v>
      </c>
      <c r="N267" s="16">
        <v>-56</v>
      </c>
      <c r="O267" s="16">
        <v>0.00771</v>
      </c>
      <c r="P267" s="16">
        <v>-0.08615</v>
      </c>
      <c r="Q267">
        <f>COS(P270)*SIN(O270+$B$375)</f>
        <v>-0.4409338669867248</v>
      </c>
      <c r="R267">
        <f>DEGREES(ATAN2(Q268,Q267))+$C$375</f>
        <v>-53.32549769970565</v>
      </c>
      <c r="S267">
        <f>RADIANS(R268)</f>
        <v>5.352479797055061</v>
      </c>
      <c r="T267">
        <f>(COS($D$367)+SIN($D$367)*SIN(S267)*TAN(S270))*$A$364-COS(S267)*TAN(S270)*$A$367</f>
        <v>4.910317787210449E-05</v>
      </c>
      <c r="U267">
        <f>COS(S267)*COS($D$388)*COS($D$367)+SIN(S267)*SIN($D$388)</f>
        <v>-0.9057869859105866</v>
      </c>
      <c r="V267">
        <f>COS($D$388)*COS($D$367)*(TAN($D$367)*COS(S270)-SIN(S267)*SIN(S270))+COS(S267)*SIN(S270)*SIN($D$388)</f>
        <v>-0.39568686235656014</v>
      </c>
      <c r="W267">
        <f>DEGREES(U270+T267+S267)</f>
        <v>306.68124446387793</v>
      </c>
      <c r="X267">
        <f>DEGREES(V270+T270+S270)</f>
        <v>-56.685243907505246</v>
      </c>
    </row>
    <row r="268" spans="1:22" ht="12.75">
      <c r="A268" s="3" t="s">
        <v>104</v>
      </c>
      <c r="B268" s="3" t="s">
        <v>105</v>
      </c>
      <c r="C268" s="3" t="s">
        <v>102</v>
      </c>
      <c r="D268" s="3" t="s">
        <v>106</v>
      </c>
      <c r="E268" s="3" t="s">
        <v>105</v>
      </c>
      <c r="F268" s="3" t="s">
        <v>102</v>
      </c>
      <c r="M268" s="16">
        <v>25</v>
      </c>
      <c r="N268" s="16">
        <v>-44</v>
      </c>
      <c r="O268" t="s">
        <v>77</v>
      </c>
      <c r="P268" t="s">
        <v>78</v>
      </c>
      <c r="Q268">
        <f>COS($F$375)*COS(P270)*COS(O270+$B$375)-SIN($F$375)*SIN(P270)</f>
        <v>0.3273325630291307</v>
      </c>
      <c r="R268">
        <f>R267-360*INT(R267/360)</f>
        <v>306.67450230029436</v>
      </c>
      <c r="U268">
        <f>COS(S267)*COS($D$383)*COS($D$367)+SIN(S267)*SIN($D$383)</f>
        <v>-0.39408857963685506</v>
      </c>
      <c r="V268">
        <f>COS($D$383)*COS($D$367)*(TAN($D$367)*COS(S270)-SIN(S267)*SIN(S270))+COS(S267)*SIN(S270)*SIN($D$383)</f>
        <v>-0.6331030820265435</v>
      </c>
    </row>
    <row r="269" spans="1:24" ht="12.75">
      <c r="A269" s="9">
        <f>($C$370+E267+F267/60)-INT(($C$370+E267+F267/60)/360)*360</f>
        <v>320.2303152694514</v>
      </c>
      <c r="B269" s="22">
        <f>TRUNC(A269)</f>
        <v>320</v>
      </c>
      <c r="C269" s="23">
        <f>(A269-B269)*60</f>
        <v>13.81891616708458</v>
      </c>
      <c r="D269" s="38" t="str">
        <f>IF(X267&gt;=0,"N","S")</f>
        <v>S</v>
      </c>
      <c r="E269" s="22">
        <f>ABS(TRUNC(X267))</f>
        <v>56</v>
      </c>
      <c r="F269" s="23">
        <f>ABS(X267-TRUNC(X267))*60</f>
        <v>41.11463445031475</v>
      </c>
      <c r="M269" s="17">
        <v>38.858</v>
      </c>
      <c r="N269" s="17">
        <v>-6.32</v>
      </c>
      <c r="O269" s="14">
        <f>M270+O267/3600*$A$361</f>
        <v>306.4119369861309</v>
      </c>
      <c r="P269" s="14">
        <f>N270+P267/3600*$A$361</f>
        <v>-56.73540904952635</v>
      </c>
      <c r="Q269" s="14">
        <f>SIN($F$375)*COS(P270)*COS(O270+$B$375)+COS($F$375)*SIN(P270)</f>
        <v>-0.8357216750359617</v>
      </c>
      <c r="R269" s="14" t="s">
        <v>106</v>
      </c>
      <c r="S269" s="8" t="s">
        <v>86</v>
      </c>
      <c r="T269" s="8" t="s">
        <v>89</v>
      </c>
      <c r="U269" s="8" t="s">
        <v>88</v>
      </c>
      <c r="V269" s="8" t="s">
        <v>89</v>
      </c>
      <c r="W269" s="8" t="s">
        <v>97</v>
      </c>
      <c r="X269" s="8"/>
    </row>
    <row r="270" spans="1:23" ht="12.75">
      <c r="A270" s="3"/>
      <c r="B270" s="3"/>
      <c r="C270" s="3"/>
      <c r="D270" s="3"/>
      <c r="E270" s="3"/>
      <c r="F270" s="3"/>
      <c r="M270" s="13">
        <f>(M267+M268/60+M269/3600)*15</f>
        <v>306.4119083333333</v>
      </c>
      <c r="N270" s="13">
        <f>N267+N268/60+N269/3600</f>
        <v>-56.73508888888889</v>
      </c>
      <c r="O270">
        <f>RADIANS(O269)</f>
        <v>5.347897167821375</v>
      </c>
      <c r="P270">
        <f>RADIANS(P269)</f>
        <v>-0.9902196903800214</v>
      </c>
      <c r="R270">
        <f>DEGREES(ASIN(Q269))</f>
        <v>-56.69105887411411</v>
      </c>
      <c r="S270">
        <f>RADIANS(R270)</f>
        <v>-0.9894456337952409</v>
      </c>
      <c r="T270">
        <f>SIN($D$367)*COS(S267)*$A$364+SIN(S267)*$A$367</f>
        <v>3.923869149102032E-05</v>
      </c>
      <c r="U270" s="15">
        <f>($A$388*U267-U268)*$V$12/COS(S270)</f>
        <v>6.856977536898295E-05</v>
      </c>
      <c r="V270" s="15">
        <f>($A$388*V267-V268)*$V$12</f>
        <v>6.225162172727975E-05</v>
      </c>
      <c r="W270">
        <f>360-W267</f>
        <v>53.31875553612207</v>
      </c>
    </row>
    <row r="271" spans="1:24" ht="12.75">
      <c r="A271" s="3" t="s">
        <v>107</v>
      </c>
      <c r="B271" s="3" t="s">
        <v>107</v>
      </c>
      <c r="C271" s="3" t="s">
        <v>107</v>
      </c>
      <c r="D271" s="3" t="s">
        <v>107</v>
      </c>
      <c r="E271" s="3" t="s">
        <v>107</v>
      </c>
      <c r="F271" s="3" t="s">
        <v>107</v>
      </c>
      <c r="M271" s="3" t="s">
        <v>107</v>
      </c>
      <c r="N271" s="3" t="s">
        <v>176</v>
      </c>
      <c r="O271" s="3" t="s">
        <v>107</v>
      </c>
      <c r="P271" s="3" t="s">
        <v>107</v>
      </c>
      <c r="Q271" s="3" t="s">
        <v>107</v>
      </c>
      <c r="R271" s="3" t="s">
        <v>107</v>
      </c>
      <c r="S271" s="3" t="s">
        <v>107</v>
      </c>
      <c r="T271" s="3" t="s">
        <v>176</v>
      </c>
      <c r="U271" s="3" t="s">
        <v>107</v>
      </c>
      <c r="V271" s="3" t="s">
        <v>107</v>
      </c>
      <c r="W271" s="3" t="s">
        <v>107</v>
      </c>
      <c r="X271" s="3" t="s">
        <v>107</v>
      </c>
    </row>
    <row r="272" spans="1:24" ht="12.75">
      <c r="A272" s="3"/>
      <c r="B272" s="3"/>
      <c r="C272" s="3"/>
      <c r="D272" s="3"/>
      <c r="E272" s="3"/>
      <c r="F272" s="3"/>
      <c r="M272" s="16" t="s">
        <v>71</v>
      </c>
      <c r="N272" s="16" t="s">
        <v>106</v>
      </c>
      <c r="O272" s="16" t="s">
        <v>73</v>
      </c>
      <c r="P272" s="16" t="s">
        <v>74</v>
      </c>
      <c r="Q272" t="s">
        <v>81</v>
      </c>
      <c r="R272" t="s">
        <v>71</v>
      </c>
      <c r="S272" t="s">
        <v>85</v>
      </c>
      <c r="T272" t="s">
        <v>88</v>
      </c>
      <c r="U272" t="s">
        <v>92</v>
      </c>
      <c r="V272" t="s">
        <v>93</v>
      </c>
      <c r="W272" t="s">
        <v>71</v>
      </c>
      <c r="X272" t="s">
        <v>106</v>
      </c>
    </row>
    <row r="273" spans="1:24" ht="12.75">
      <c r="A273" s="30" t="s">
        <v>176</v>
      </c>
      <c r="B273" s="33">
        <v>21</v>
      </c>
      <c r="C273" s="34">
        <v>1.1</v>
      </c>
      <c r="D273" s="6" t="s">
        <v>132</v>
      </c>
      <c r="E273" s="36">
        <f>TRUNC(W276)</f>
        <v>243</v>
      </c>
      <c r="F273" s="37">
        <f>ABS(W276-E273)*60</f>
        <v>28.00643249395307</v>
      </c>
      <c r="M273" s="16">
        <v>7</v>
      </c>
      <c r="N273" s="16">
        <v>28</v>
      </c>
      <c r="O273" s="16">
        <v>-0.62569</v>
      </c>
      <c r="P273" s="16">
        <v>-0.04596</v>
      </c>
      <c r="Q273">
        <f>COS(P276)*SIN(O276+$B$375)</f>
        <v>0.790590887385056</v>
      </c>
      <c r="R273">
        <f>DEGREES(ATAN2(Q274,Q273))+$C$375</f>
        <v>116.53353143022042</v>
      </c>
      <c r="S273">
        <f>RADIANS(R274)</f>
        <v>2.033893812433643</v>
      </c>
      <c r="T273">
        <f>(COS($D$367)+SIN($D$367)*SIN(S273)*TAN(S276))*$A$364-COS(S273)*TAN(S276)*$A$367</f>
        <v>5.424491458920991E-05</v>
      </c>
      <c r="U273">
        <f>COS(S273)*COS($D$388)*COS($D$367)+SIN(S273)*SIN($D$388)</f>
        <v>0.9645180671079672</v>
      </c>
      <c r="V273">
        <f>COS($D$388)*COS($D$367)*(TAN($D$367)*COS(S276)-SIN(S273)*SIN(S276))+COS(S273)*SIN(S276)*SIN($D$388)</f>
        <v>-0.19639448670739101</v>
      </c>
      <c r="W273">
        <f>DEGREES(U276+T273+S273)</f>
        <v>116.5332261251008</v>
      </c>
      <c r="X273">
        <f>DEGREES(V276+T276+S276)</f>
        <v>27.99174385922259</v>
      </c>
    </row>
    <row r="274" spans="1:22" ht="12.75">
      <c r="A274" s="3" t="s">
        <v>104</v>
      </c>
      <c r="B274" s="3" t="s">
        <v>105</v>
      </c>
      <c r="C274" s="3" t="s">
        <v>102</v>
      </c>
      <c r="D274" s="3" t="s">
        <v>106</v>
      </c>
      <c r="E274" s="3" t="s">
        <v>105</v>
      </c>
      <c r="F274" s="3" t="s">
        <v>102</v>
      </c>
      <c r="M274" s="16">
        <v>45</v>
      </c>
      <c r="N274" s="16">
        <v>1</v>
      </c>
      <c r="O274" t="s">
        <v>77</v>
      </c>
      <c r="P274" t="s">
        <v>78</v>
      </c>
      <c r="Q274">
        <f>COS($F$375)*COS(P276)*COS(O276+$B$375)-SIN($F$375)*SIN(P276)</f>
        <v>-0.3932754953967138</v>
      </c>
      <c r="R274">
        <f>R273-360*INT(R273/360)</f>
        <v>116.53353143022042</v>
      </c>
      <c r="U274">
        <f>COS(S273)*COS($D$383)*COS($D$367)+SIN(S273)*SIN($D$383)</f>
        <v>0.5455091027090296</v>
      </c>
      <c r="V274">
        <f>COS($D$383)*COS($D$367)*(TAN($D$367)*COS(S276)-SIN(S273)*SIN(S276))+COS(S273)*SIN(S276)*SIN($D$383)</f>
        <v>-0.1962781229638651</v>
      </c>
    </row>
    <row r="275" spans="1:24" ht="12.75">
      <c r="A275" s="9">
        <f>($C$370+E273+F273/60)-INT(($C$370+E273+F273/60)/360)*360</f>
        <v>150.37833360822856</v>
      </c>
      <c r="B275" s="22">
        <f>TRUNC(A275)</f>
        <v>150</v>
      </c>
      <c r="C275" s="23">
        <f>(A275-B275)*60</f>
        <v>22.70001649371352</v>
      </c>
      <c r="D275" s="38" t="str">
        <f>IF(X273&gt;=0,"N","S")</f>
        <v>N</v>
      </c>
      <c r="E275" s="22">
        <f>ABS(TRUNC(X273))</f>
        <v>27</v>
      </c>
      <c r="F275" s="23">
        <f>ABS(X273-TRUNC(X273))*60</f>
        <v>59.50463155335548</v>
      </c>
      <c r="M275" s="17">
        <v>18.95</v>
      </c>
      <c r="N275" s="17">
        <v>34.31</v>
      </c>
      <c r="O275" s="14">
        <f>M276+O273/3600*$A$361</f>
        <v>116.32663307147317</v>
      </c>
      <c r="P275" s="14">
        <f>N276+P273/3600*$A$361</f>
        <v>28.026026420331362</v>
      </c>
      <c r="Q275" s="14">
        <f>SIN($F$375)*COS(P276)*COS(O276+$B$375)+COS($F$375)*SIN(P276)</f>
        <v>0.46936172991007574</v>
      </c>
      <c r="R275" s="14" t="s">
        <v>106</v>
      </c>
      <c r="S275" s="8" t="s">
        <v>86</v>
      </c>
      <c r="T275" s="8" t="s">
        <v>89</v>
      </c>
      <c r="U275" s="8" t="s">
        <v>88</v>
      </c>
      <c r="V275" s="8" t="s">
        <v>89</v>
      </c>
      <c r="W275" s="8" t="s">
        <v>97</v>
      </c>
      <c r="X275" s="8"/>
    </row>
    <row r="276" spans="1:23" ht="12.75">
      <c r="A276" s="3"/>
      <c r="B276" s="3"/>
      <c r="C276" s="3"/>
      <c r="D276" s="3"/>
      <c r="E276" s="3"/>
      <c r="F276" s="3"/>
      <c r="M276" s="13">
        <f>(M273+M274/60+M275/3600)*15</f>
        <v>116.32895833333333</v>
      </c>
      <c r="N276" s="13">
        <f>N273+N274/60+N275/3600</f>
        <v>28.026197222222223</v>
      </c>
      <c r="O276">
        <f>RADIANS(O275)</f>
        <v>2.030282754856531</v>
      </c>
      <c r="P276">
        <f>RADIANS(P275)</f>
        <v>0.48914643728570256</v>
      </c>
      <c r="R276">
        <f>DEGREES(ASIN(Q275))</f>
        <v>27.992873017373814</v>
      </c>
      <c r="S276">
        <f>RADIANS(R276)</f>
        <v>0.4885678012458529</v>
      </c>
      <c r="T276">
        <f>SIN($D$367)*COS(S273)*$A$364+SIN(S273)*$A$367</f>
        <v>-3.888476478063734E-05</v>
      </c>
      <c r="U276" s="15">
        <f>($A$388*U273-U274)*$V$12/COS(S276)</f>
        <v>-5.9573494149768474E-05</v>
      </c>
      <c r="V276" s="15">
        <f>($A$388*V273-V274)*$V$12</f>
        <v>1.9177237266011728E-05</v>
      </c>
      <c r="W276">
        <f>360-W273</f>
        <v>243.46677387489922</v>
      </c>
    </row>
    <row r="277" spans="1:24" ht="12.75">
      <c r="A277" s="3" t="s">
        <v>107</v>
      </c>
      <c r="B277" s="3" t="s">
        <v>107</v>
      </c>
      <c r="C277" s="3" t="s">
        <v>107</v>
      </c>
      <c r="D277" s="3" t="s">
        <v>107</v>
      </c>
      <c r="E277" s="3" t="s">
        <v>107</v>
      </c>
      <c r="F277" s="3" t="s">
        <v>107</v>
      </c>
      <c r="M277" s="3" t="s">
        <v>107</v>
      </c>
      <c r="N277" s="3" t="s">
        <v>177</v>
      </c>
      <c r="O277" s="3" t="s">
        <v>107</v>
      </c>
      <c r="P277" s="3" t="s">
        <v>107</v>
      </c>
      <c r="Q277" s="3" t="s">
        <v>107</v>
      </c>
      <c r="R277" s="3" t="s">
        <v>107</v>
      </c>
      <c r="S277" s="3" t="s">
        <v>107</v>
      </c>
      <c r="T277" s="3" t="s">
        <v>177</v>
      </c>
      <c r="U277" s="3" t="s">
        <v>107</v>
      </c>
      <c r="V277" s="3" t="s">
        <v>107</v>
      </c>
      <c r="W277" s="3" t="s">
        <v>107</v>
      </c>
      <c r="X277" s="3" t="s">
        <v>107</v>
      </c>
    </row>
    <row r="278" spans="1:24" ht="12.75">
      <c r="A278" s="3"/>
      <c r="B278" s="3"/>
      <c r="C278" s="3"/>
      <c r="D278" s="3"/>
      <c r="E278" s="3"/>
      <c r="F278" s="3"/>
      <c r="M278" s="16" t="s">
        <v>71</v>
      </c>
      <c r="N278" s="16" t="s">
        <v>106</v>
      </c>
      <c r="O278" s="16" t="s">
        <v>73</v>
      </c>
      <c r="P278" s="16" t="s">
        <v>74</v>
      </c>
      <c r="Q278" t="s">
        <v>81</v>
      </c>
      <c r="R278" t="s">
        <v>71</v>
      </c>
      <c r="S278" t="s">
        <v>85</v>
      </c>
      <c r="T278" t="s">
        <v>88</v>
      </c>
      <c r="U278" t="s">
        <v>92</v>
      </c>
      <c r="V278" t="s">
        <v>93</v>
      </c>
      <c r="W278" t="s">
        <v>71</v>
      </c>
      <c r="X278" t="s">
        <v>106</v>
      </c>
    </row>
    <row r="279" spans="1:24" ht="12.75">
      <c r="A279" s="30" t="s">
        <v>177</v>
      </c>
      <c r="B279" s="33">
        <v>20</v>
      </c>
      <c r="C279" s="34">
        <v>0.4</v>
      </c>
      <c r="D279" s="6" t="s">
        <v>132</v>
      </c>
      <c r="E279" s="36">
        <f>TRUNC(W282)</f>
        <v>244</v>
      </c>
      <c r="F279" s="37">
        <f>ABS(W282-E279)*60</f>
        <v>59.98623275706734</v>
      </c>
      <c r="M279" s="16">
        <v>7</v>
      </c>
      <c r="N279" s="16">
        <v>5</v>
      </c>
      <c r="O279" s="16">
        <v>-0.71658</v>
      </c>
      <c r="P279" s="16">
        <v>-1.0346</v>
      </c>
      <c r="Q279">
        <f>COS(P282)*SIN(O282+$B$375)</f>
        <v>0.9032180960029431</v>
      </c>
      <c r="R279">
        <f>DEGREES(ATAN2(Q280,Q279))+$C$375</f>
        <v>115.00040272194788</v>
      </c>
      <c r="S279">
        <f>RADIANS(R280)</f>
        <v>2.0071356686174395</v>
      </c>
      <c r="T279">
        <f>(COS($D$367)+SIN($D$367)*SIN(S279)*TAN(S282))*$A$364-COS(S279)*TAN(S282)*$A$367</f>
        <v>5.19327415317392E-05</v>
      </c>
      <c r="U279">
        <f>COS(S279)*COS($D$388)*COS($D$367)+SIN(S279)*SIN($D$388)</f>
        <v>0.9708076232802125</v>
      </c>
      <c r="V279">
        <f>COS($D$388)*COS($D$367)*(TAN($D$367)*COS(S282)-SIN(S279)*SIN(S282))+COS(S279)*SIN(S282)*SIN($D$388)</f>
        <v>-0.11031707857824952</v>
      </c>
      <c r="W279">
        <f>DEGREES(U282+T279+S279)</f>
        <v>115.00022945404888</v>
      </c>
      <c r="X279">
        <f>DEGREES(V282+T282+S282)</f>
        <v>5.186770606281032</v>
      </c>
    </row>
    <row r="280" spans="1:22" ht="12.75">
      <c r="A280" s="3" t="s">
        <v>104</v>
      </c>
      <c r="B280" s="3" t="s">
        <v>105</v>
      </c>
      <c r="C280" s="3" t="s">
        <v>102</v>
      </c>
      <c r="D280" s="3" t="s">
        <v>106</v>
      </c>
      <c r="E280" s="3" t="s">
        <v>105</v>
      </c>
      <c r="F280" s="3" t="s">
        <v>102</v>
      </c>
      <c r="M280" s="16">
        <v>39</v>
      </c>
      <c r="N280" s="16">
        <v>13</v>
      </c>
      <c r="O280" t="s">
        <v>77</v>
      </c>
      <c r="P280" t="s">
        <v>78</v>
      </c>
      <c r="Q280">
        <f>COS($F$375)*COS(P282)*COS(O282+$B$375)-SIN($F$375)*SIN(P282)</f>
        <v>-0.4195414041133118</v>
      </c>
      <c r="R280">
        <f>R279-360*INT(R279/360)</f>
        <v>115.00040272194788</v>
      </c>
      <c r="U280">
        <f>COS(S279)*COS($D$383)*COS($D$367)+SIN(S279)*SIN($D$383)</f>
        <v>0.5670280435852386</v>
      </c>
      <c r="V280">
        <f>COS($D$383)*COS($D$367)*(TAN($D$367)*COS(S282)-SIN(S279)*SIN(S282))+COS(S279)*SIN(S282)*SIN($D$383)</f>
        <v>0.13619630088537935</v>
      </c>
    </row>
    <row r="281" spans="1:24" ht="12.75">
      <c r="A281" s="9">
        <f>($C$370+E279+F279/60)-INT(($C$370+E279+F279/60)/360)*360</f>
        <v>151.9113302792805</v>
      </c>
      <c r="B281" s="22">
        <f>TRUNC(A281)</f>
        <v>151</v>
      </c>
      <c r="C281" s="23">
        <f>(A281-B281)*60</f>
        <v>54.679816756829496</v>
      </c>
      <c r="D281" s="38" t="str">
        <f>IF(X279&gt;=0,"N","S")</f>
        <v>N</v>
      </c>
      <c r="E281" s="22">
        <f>ABS(TRUNC(X279))</f>
        <v>5</v>
      </c>
      <c r="F281" s="23">
        <f>ABS(X279-TRUNC(X279))*60</f>
        <v>11.206236376861902</v>
      </c>
      <c r="M281" s="17">
        <v>18.118</v>
      </c>
      <c r="N281" s="17">
        <v>29.98</v>
      </c>
      <c r="O281" s="14">
        <f>M282+O279/3600*$A$361</f>
        <v>114.82282862883044</v>
      </c>
      <c r="P281" s="14">
        <f>N282+P279/3600*$A$361</f>
        <v>5.221149543741976</v>
      </c>
      <c r="Q281" s="14">
        <f>SIN($F$375)*COS(P282)*COS(O282+$B$375)+COS($F$375)*SIN(P282)</f>
        <v>0.09045485773273354</v>
      </c>
      <c r="R281" s="14" t="s">
        <v>106</v>
      </c>
      <c r="S281" s="8" t="s">
        <v>86</v>
      </c>
      <c r="T281" s="8" t="s">
        <v>89</v>
      </c>
      <c r="U281" s="8" t="s">
        <v>88</v>
      </c>
      <c r="V281" s="8" t="s">
        <v>89</v>
      </c>
      <c r="W281" s="8" t="s">
        <v>97</v>
      </c>
      <c r="X281" s="8"/>
    </row>
    <row r="282" spans="1:23" ht="12.75">
      <c r="A282" s="3"/>
      <c r="B282" s="3"/>
      <c r="C282" s="3"/>
      <c r="D282" s="3"/>
      <c r="E282" s="3"/>
      <c r="F282" s="3"/>
      <c r="M282" s="13">
        <f>(M279+M280/60+M281/3600)*15</f>
        <v>114.82549166666668</v>
      </c>
      <c r="N282" s="13">
        <f>N279+N280/60+N281/3600</f>
        <v>5.2249944444444445</v>
      </c>
      <c r="O282">
        <f>RADIANS(O281)</f>
        <v>2.004036416026297</v>
      </c>
      <c r="P282">
        <f>RADIANS(P281)</f>
        <v>0.09112625027729719</v>
      </c>
      <c r="R282">
        <f>DEGREES(ASIN(Q281))</f>
        <v>5.189775254484228</v>
      </c>
      <c r="S282">
        <f>RADIANS(R282)</f>
        <v>0.0905786656292764</v>
      </c>
      <c r="T282">
        <f>SIN($D$367)*COS(S279)*$A$364+SIN(S279)*$A$367</f>
        <v>-3.8724754209380175E-05</v>
      </c>
      <c r="U282" s="15">
        <f>($A$388*U279-U280)*$V$12/COS(S282)</f>
        <v>-5.495683685763998E-05</v>
      </c>
      <c r="V282" s="15">
        <f>($A$388*V279-V280)*$V$12</f>
        <v>-1.371624980053651E-05</v>
      </c>
      <c r="W282">
        <f>360-W279</f>
        <v>244.99977054595112</v>
      </c>
    </row>
    <row r="283" spans="1:24" ht="12.75">
      <c r="A283" s="3" t="s">
        <v>107</v>
      </c>
      <c r="B283" s="3" t="s">
        <v>107</v>
      </c>
      <c r="C283" s="3" t="s">
        <v>107</v>
      </c>
      <c r="D283" s="3" t="s">
        <v>107</v>
      </c>
      <c r="E283" s="3" t="s">
        <v>107</v>
      </c>
      <c r="F283" s="3" t="s">
        <v>107</v>
      </c>
      <c r="M283" s="3" t="s">
        <v>107</v>
      </c>
      <c r="N283" s="3" t="s">
        <v>178</v>
      </c>
      <c r="O283" s="3" t="s">
        <v>107</v>
      </c>
      <c r="P283" s="3" t="s">
        <v>107</v>
      </c>
      <c r="Q283" s="3" t="s">
        <v>107</v>
      </c>
      <c r="R283" s="3" t="s">
        <v>107</v>
      </c>
      <c r="S283" s="3" t="s">
        <v>107</v>
      </c>
      <c r="T283" s="3" t="s">
        <v>178</v>
      </c>
      <c r="U283" s="3" t="s">
        <v>107</v>
      </c>
      <c r="V283" s="3" t="s">
        <v>107</v>
      </c>
      <c r="W283" s="3" t="s">
        <v>107</v>
      </c>
      <c r="X283" s="3" t="s">
        <v>107</v>
      </c>
    </row>
    <row r="284" spans="1:24" ht="12.75">
      <c r="A284" s="3"/>
      <c r="B284" s="3"/>
      <c r="C284" s="3"/>
      <c r="D284" s="3"/>
      <c r="E284" s="3"/>
      <c r="F284" s="3"/>
      <c r="M284" s="16" t="s">
        <v>71</v>
      </c>
      <c r="N284" s="16" t="s">
        <v>106</v>
      </c>
      <c r="O284" s="16" t="s">
        <v>73</v>
      </c>
      <c r="P284" s="16" t="s">
        <v>74</v>
      </c>
      <c r="Q284" t="s">
        <v>81</v>
      </c>
      <c r="R284" t="s">
        <v>71</v>
      </c>
      <c r="S284" t="s">
        <v>85</v>
      </c>
      <c r="T284" t="s">
        <v>88</v>
      </c>
      <c r="U284" t="s">
        <v>92</v>
      </c>
      <c r="V284" t="s">
        <v>93</v>
      </c>
      <c r="W284" t="s">
        <v>71</v>
      </c>
      <c r="X284" t="s">
        <v>106</v>
      </c>
    </row>
    <row r="285" spans="1:24" ht="12.75">
      <c r="A285" s="30" t="s">
        <v>178</v>
      </c>
      <c r="B285" s="33">
        <v>46</v>
      </c>
      <c r="C285" s="34">
        <v>2.1</v>
      </c>
      <c r="D285" s="6" t="s">
        <v>132</v>
      </c>
      <c r="E285" s="36">
        <f>TRUNC(W288)</f>
        <v>96</v>
      </c>
      <c r="F285" s="37">
        <f>ABS(W288-E285)*60</f>
        <v>6.196901837963651</v>
      </c>
      <c r="M285" s="16">
        <v>17</v>
      </c>
      <c r="N285" s="16">
        <v>12</v>
      </c>
      <c r="O285" s="16">
        <v>0.11008</v>
      </c>
      <c r="P285" s="16">
        <v>-0.22261</v>
      </c>
      <c r="Q285">
        <f>COS(P288)*SIN(O288+$B$375)</f>
        <v>-0.970399015287903</v>
      </c>
      <c r="R285">
        <f>DEGREES(ATAN2(Q286,Q285))+$C$375</f>
        <v>-96.11103764613352</v>
      </c>
      <c r="S285">
        <f>RADIANS(R286)</f>
        <v>4.605731252746335</v>
      </c>
      <c r="T285">
        <f>(COS($D$367)+SIN($D$367)*SIN(S285)*TAN(S288))*$A$364-COS(S285)*TAN(S288)*$A$367</f>
        <v>4.5649063500819704E-05</v>
      </c>
      <c r="U285">
        <f>COS(S285)*COS($D$388)*COS($D$367)+SIN(S285)*SIN($D$388)</f>
        <v>-0.9459257434568684</v>
      </c>
      <c r="V285">
        <f>COS($D$388)*COS($D$367)*(TAN($D$367)*COS(S288)-SIN(S285)*SIN(S288))+COS(S285)*SIN(S288)*SIN($D$388)</f>
        <v>-0.15612114804412713</v>
      </c>
      <c r="W285">
        <f>DEGREES(U288+T285+S285)</f>
        <v>263.8967183027006</v>
      </c>
      <c r="X285">
        <f>DEGREES(V288+T288+S288)</f>
        <v>12.551225481569196</v>
      </c>
    </row>
    <row r="286" spans="1:22" ht="12.75">
      <c r="A286" s="3" t="s">
        <v>104</v>
      </c>
      <c r="B286" s="3" t="s">
        <v>105</v>
      </c>
      <c r="C286" s="3" t="s">
        <v>102</v>
      </c>
      <c r="D286" s="3" t="s">
        <v>106</v>
      </c>
      <c r="E286" s="3" t="s">
        <v>105</v>
      </c>
      <c r="F286" s="3" t="s">
        <v>102</v>
      </c>
      <c r="M286" s="16">
        <v>34</v>
      </c>
      <c r="N286" s="16">
        <v>33</v>
      </c>
      <c r="O286" t="s">
        <v>77</v>
      </c>
      <c r="P286" t="s">
        <v>78</v>
      </c>
      <c r="Q286">
        <f>COS($F$375)*COS(P288)*COS(O288+$B$375)-SIN($F$375)*SIN(P288)</f>
        <v>-0.10536336565292921</v>
      </c>
      <c r="R286">
        <f>R285-360*INT(R285/360)</f>
        <v>263.8889623538665</v>
      </c>
      <c r="U286">
        <f>COS(S285)*COS($D$383)*COS($D$367)+SIN(S285)*SIN($D$383)</f>
        <v>-0.8971328318422102</v>
      </c>
      <c r="V286">
        <f>COS($D$383)*COS($D$367)*(TAN($D$367)*COS(S288)-SIN(S285)*SIN(S288))+COS(S285)*SIN(S288)*SIN($D$383)</f>
        <v>0.28868472068719453</v>
      </c>
    </row>
    <row r="287" spans="1:24" ht="12.75">
      <c r="A287" s="9">
        <f>($C$370+E285+F285/60)-INT(($C$370+E285+F285/60)/360)*360</f>
        <v>3.014841430628735</v>
      </c>
      <c r="B287" s="22">
        <f>TRUNC(A287)</f>
        <v>3</v>
      </c>
      <c r="C287" s="23">
        <f>(A287-B287)*60</f>
        <v>0.8904858377240998</v>
      </c>
      <c r="D287" s="38" t="str">
        <f>IF(X285&gt;=0,"N","S")</f>
        <v>N</v>
      </c>
      <c r="E287" s="22">
        <f>ABS(TRUNC(X285))</f>
        <v>12</v>
      </c>
      <c r="F287" s="23">
        <f>ABS(X285-TRUNC(X285))*60</f>
        <v>33.07352889415174</v>
      </c>
      <c r="M287" s="17">
        <v>56.07</v>
      </c>
      <c r="N287" s="17">
        <v>36.12</v>
      </c>
      <c r="O287" s="14">
        <f>M288+O285/3600*$A$361</f>
        <v>263.7340340920832</v>
      </c>
      <c r="P287" s="14">
        <f>N288+P285/3600*$A$361</f>
        <v>12.559206044192239</v>
      </c>
      <c r="Q287" s="14">
        <f>SIN($F$375)*COS(P288)*COS(O288+$B$375)+COS($F$375)*SIN(P288)</f>
        <v>0.21731155585139844</v>
      </c>
      <c r="R287" s="14" t="s">
        <v>106</v>
      </c>
      <c r="S287" s="8" t="s">
        <v>86</v>
      </c>
      <c r="T287" s="8" t="s">
        <v>89</v>
      </c>
      <c r="U287" s="8" t="s">
        <v>88</v>
      </c>
      <c r="V287" s="8" t="s">
        <v>89</v>
      </c>
      <c r="W287" s="8" t="s">
        <v>97</v>
      </c>
      <c r="X287" s="8"/>
    </row>
    <row r="288" spans="1:23" ht="12.75">
      <c r="A288" s="3"/>
      <c r="B288" s="3"/>
      <c r="C288" s="3"/>
      <c r="D288" s="3"/>
      <c r="E288" s="3"/>
      <c r="F288" s="3"/>
      <c r="M288" s="13">
        <f>(M285+M286/60+M287/3600)*15</f>
        <v>263.73362499999996</v>
      </c>
      <c r="N288" s="13">
        <f>N285+N286/60+N287/3600</f>
        <v>12.560033333333333</v>
      </c>
      <c r="O288">
        <f>RADIANS(O287)</f>
        <v>4.603027244473826</v>
      </c>
      <c r="P288">
        <f>RADIANS(P287)</f>
        <v>0.21919949690752702</v>
      </c>
      <c r="R288">
        <f>DEGREES(ASIN(Q287))</f>
        <v>12.551176635700747</v>
      </c>
      <c r="S288">
        <f>RADIANS(R288)</f>
        <v>0.2190593572923629</v>
      </c>
      <c r="T288">
        <f>SIN($D$367)*COS(S285)*$A$364+SIN(S285)*$A$367</f>
        <v>2.9796816643046864E-05</v>
      </c>
      <c r="U288" s="15">
        <f>($A$388*U285-U286)*$V$12/COS(S288)</f>
        <v>8.971778027034792E-05</v>
      </c>
      <c r="V288" s="15">
        <f>($A$388*V285-V286)*$V$12</f>
        <v>-2.89442954125995E-05</v>
      </c>
      <c r="W288">
        <f>360-W285</f>
        <v>96.1032816972994</v>
      </c>
    </row>
    <row r="289" spans="1:24" ht="12.75">
      <c r="A289" s="3" t="s">
        <v>107</v>
      </c>
      <c r="B289" s="3" t="s">
        <v>107</v>
      </c>
      <c r="C289" s="3" t="s">
        <v>107</v>
      </c>
      <c r="D289" s="3" t="s">
        <v>107</v>
      </c>
      <c r="E289" s="3" t="s">
        <v>107</v>
      </c>
      <c r="F289" s="3" t="s">
        <v>107</v>
      </c>
      <c r="M289" s="3" t="s">
        <v>107</v>
      </c>
      <c r="N289" s="3" t="s">
        <v>179</v>
      </c>
      <c r="O289" s="3" t="s">
        <v>107</v>
      </c>
      <c r="P289" s="3" t="s">
        <v>107</v>
      </c>
      <c r="Q289" s="3" t="s">
        <v>107</v>
      </c>
      <c r="R289" s="3" t="s">
        <v>107</v>
      </c>
      <c r="S289" s="3" t="s">
        <v>107</v>
      </c>
      <c r="T289" s="3" t="s">
        <v>179</v>
      </c>
      <c r="U289" s="3" t="s">
        <v>107</v>
      </c>
      <c r="V289" s="3" t="s">
        <v>107</v>
      </c>
      <c r="W289" s="3" t="s">
        <v>107</v>
      </c>
      <c r="X289" s="3" t="s">
        <v>107</v>
      </c>
    </row>
    <row r="290" spans="1:24" ht="12.75">
      <c r="A290" s="3"/>
      <c r="B290" s="3"/>
      <c r="C290" s="3"/>
      <c r="D290" s="3"/>
      <c r="E290" s="3"/>
      <c r="F290" s="3"/>
      <c r="M290" s="16" t="s">
        <v>71</v>
      </c>
      <c r="N290" s="16" t="s">
        <v>106</v>
      </c>
      <c r="O290" s="16" t="s">
        <v>73</v>
      </c>
      <c r="P290" s="16" t="s">
        <v>74</v>
      </c>
      <c r="Q290" t="s">
        <v>81</v>
      </c>
      <c r="R290" t="s">
        <v>71</v>
      </c>
      <c r="S290" t="s">
        <v>85</v>
      </c>
      <c r="T290" t="s">
        <v>88</v>
      </c>
      <c r="U290" t="s">
        <v>92</v>
      </c>
      <c r="V290" t="s">
        <v>93</v>
      </c>
      <c r="W290" t="s">
        <v>71</v>
      </c>
      <c r="X290" t="s">
        <v>106</v>
      </c>
    </row>
    <row r="291" spans="1:24" ht="12.75">
      <c r="A291" s="30" t="s">
        <v>179</v>
      </c>
      <c r="B291" s="33">
        <v>26</v>
      </c>
      <c r="C291" s="34">
        <v>1.4</v>
      </c>
      <c r="D291" s="6" t="s">
        <v>132</v>
      </c>
      <c r="E291" s="36">
        <f>TRUNC(W294)</f>
        <v>207</v>
      </c>
      <c r="F291" s="37">
        <f>ABS(W294-E291)*60</f>
        <v>43.57398935086337</v>
      </c>
      <c r="M291" s="16">
        <v>10</v>
      </c>
      <c r="N291" s="16">
        <v>11</v>
      </c>
      <c r="O291" s="16">
        <v>-0.2494</v>
      </c>
      <c r="P291" s="16">
        <v>0.00491</v>
      </c>
      <c r="Q291">
        <f>COS(P294)*SIN(O294+$B$375)</f>
        <v>0.45658648102586474</v>
      </c>
      <c r="R291">
        <f>DEGREES(ATAN2(Q292,Q291))+$C$375</f>
        <v>152.27080211554414</v>
      </c>
      <c r="S291">
        <f>RADIANS(R292)</f>
        <v>2.6576268515689923</v>
      </c>
      <c r="T291">
        <f>(COS($D$367)+SIN($D$367)*SIN(S291)*TAN(S294))*$A$364-COS(S291)*TAN(S294)*$A$367</f>
        <v>4.748999241367931E-05</v>
      </c>
      <c r="U291">
        <f>COS(S291)*COS($D$388)*COS($D$367)+SIN(S291)*SIN($D$388)</f>
        <v>0.6380623837820377</v>
      </c>
      <c r="V291">
        <f>COS($D$388)*COS($D$367)*(TAN($D$367)*COS(S294)-SIN(S291)*SIN(S294))+COS(S291)*SIN(S294)*SIN($D$388)</f>
        <v>-0.24634051725231293</v>
      </c>
      <c r="W291">
        <f>DEGREES(U294+T291+S291)</f>
        <v>152.27376684415228</v>
      </c>
      <c r="X291">
        <f>DEGREES(V294+T294+S294)</f>
        <v>11.899315607779913</v>
      </c>
    </row>
    <row r="292" spans="1:22" ht="12.75">
      <c r="A292" s="3" t="s">
        <v>104</v>
      </c>
      <c r="B292" s="3" t="s">
        <v>105</v>
      </c>
      <c r="C292" s="3" t="s">
        <v>102</v>
      </c>
      <c r="D292" s="3" t="s">
        <v>106</v>
      </c>
      <c r="E292" s="3" t="s">
        <v>105</v>
      </c>
      <c r="F292" s="3" t="s">
        <v>102</v>
      </c>
      <c r="M292" s="16">
        <v>8</v>
      </c>
      <c r="N292" s="16">
        <v>58</v>
      </c>
      <c r="O292" t="s">
        <v>77</v>
      </c>
      <c r="P292" t="s">
        <v>78</v>
      </c>
      <c r="Q292">
        <f>COS($F$375)*COS(P294)*COS(O294+$B$375)-SIN($F$375)*SIN(P294)</f>
        <v>-0.865447356759306</v>
      </c>
      <c r="R292">
        <f>R291-360*INT(R291/360)</f>
        <v>152.27080211554414</v>
      </c>
      <c r="U292">
        <f>COS(S291)*COS($D$383)*COS($D$367)+SIN(S291)*SIN($D$383)</f>
        <v>-0.03123676975922529</v>
      </c>
      <c r="V292">
        <f>COS($D$383)*COS($D$367)*(TAN($D$367)*COS(S294)-SIN(S291)*SIN(S294))+COS(S291)*SIN(S294)*SIN($D$383)</f>
        <v>0.0030601176482084325</v>
      </c>
    </row>
    <row r="293" spans="1:24" ht="12.75">
      <c r="A293" s="9">
        <f>($C$370+E291+F291/60)-INT(($C$370+E291+F291/60)/360)*360</f>
        <v>114.63779288917704</v>
      </c>
      <c r="B293" s="22">
        <f>TRUNC(A293)</f>
        <v>114</v>
      </c>
      <c r="C293" s="23">
        <f>(A293-B293)*60</f>
        <v>38.267573350622115</v>
      </c>
      <c r="D293" s="38" t="str">
        <f>IF(X291&gt;=0,"N","S")</f>
        <v>N</v>
      </c>
      <c r="E293" s="22">
        <f>ABS(TRUNC(X291))</f>
        <v>11</v>
      </c>
      <c r="F293" s="23">
        <f>ABS(X291-TRUNC(X291))*60</f>
        <v>53.95893646679479</v>
      </c>
      <c r="M293" s="17">
        <v>22.311</v>
      </c>
      <c r="N293" s="17">
        <v>1.94</v>
      </c>
      <c r="O293" s="14">
        <f>M294+O291/3600*$A$361</f>
        <v>152.0920356507489</v>
      </c>
      <c r="P293" s="14">
        <f>N294+P291/3600*$A$361</f>
        <v>11.967223802667917</v>
      </c>
      <c r="Q293" s="14">
        <f>SIN($F$375)*COS(P294)*COS(O294+$B$375)+COS($F$375)*SIN(P294)</f>
        <v>0.20622720000705133</v>
      </c>
      <c r="R293" s="14" t="s">
        <v>106</v>
      </c>
      <c r="S293" s="8" t="s">
        <v>86</v>
      </c>
      <c r="T293" s="8" t="s">
        <v>89</v>
      </c>
      <c r="U293" s="8" t="s">
        <v>88</v>
      </c>
      <c r="V293" s="8" t="s">
        <v>89</v>
      </c>
      <c r="W293" s="8" t="s">
        <v>97</v>
      </c>
      <c r="X293" s="8"/>
    </row>
    <row r="294" spans="1:23" ht="12.75">
      <c r="A294" s="3"/>
      <c r="B294" s="3"/>
      <c r="C294" s="3"/>
      <c r="D294" s="3"/>
      <c r="E294" s="3"/>
      <c r="F294" s="3"/>
      <c r="M294" s="13">
        <f>(M291+M292/60+M293/3600)*15</f>
        <v>152.0929625</v>
      </c>
      <c r="N294" s="13">
        <f>N291+N292/60+N293/3600</f>
        <v>11.967205555555555</v>
      </c>
      <c r="O294">
        <f>RADIANS(O293)</f>
        <v>2.654506788166165</v>
      </c>
      <c r="P294">
        <f>RADIANS(P293)</f>
        <v>0.2088674576795913</v>
      </c>
      <c r="R294">
        <f>DEGREES(ASIN(Q293))</f>
        <v>11.901347604705126</v>
      </c>
      <c r="S294">
        <f>RADIANS(R294)</f>
        <v>0.20771770112644503</v>
      </c>
      <c r="T294">
        <f>SIN($D$367)*COS(S291)*$A$364+SIN(S291)*$A$367</f>
        <v>-3.4752117568150265E-05</v>
      </c>
      <c r="U294" s="15">
        <f>($A$388*U291-U292)*$V$12/COS(S294)</f>
        <v>4.2542832260073506E-06</v>
      </c>
      <c r="V294" s="15">
        <f>($A$388*V291-V292)*$V$12</f>
        <v>-7.129191672291258E-07</v>
      </c>
      <c r="W294">
        <f>360-W291</f>
        <v>207.72623315584772</v>
      </c>
    </row>
    <row r="295" spans="1:24" ht="12.75">
      <c r="A295" s="3" t="s">
        <v>107</v>
      </c>
      <c r="B295" s="3" t="s">
        <v>107</v>
      </c>
      <c r="C295" s="3" t="s">
        <v>107</v>
      </c>
      <c r="D295" s="3" t="s">
        <v>107</v>
      </c>
      <c r="E295" s="3" t="s">
        <v>107</v>
      </c>
      <c r="F295" s="3" t="s">
        <v>107</v>
      </c>
      <c r="M295" s="3" t="s">
        <v>107</v>
      </c>
      <c r="N295" s="3" t="s">
        <v>180</v>
      </c>
      <c r="O295" s="3" t="s">
        <v>107</v>
      </c>
      <c r="P295" s="3" t="s">
        <v>107</v>
      </c>
      <c r="Q295" s="3" t="s">
        <v>107</v>
      </c>
      <c r="R295" s="3" t="s">
        <v>107</v>
      </c>
      <c r="S295" s="3" t="s">
        <v>107</v>
      </c>
      <c r="T295" s="3" t="s">
        <v>180</v>
      </c>
      <c r="U295" s="3" t="s">
        <v>107</v>
      </c>
      <c r="V295" s="3" t="s">
        <v>107</v>
      </c>
      <c r="W295" s="3" t="s">
        <v>107</v>
      </c>
      <c r="X295" s="3" t="s">
        <v>107</v>
      </c>
    </row>
    <row r="296" spans="1:24" ht="12.75">
      <c r="A296" s="3"/>
      <c r="B296" s="3"/>
      <c r="C296" s="3"/>
      <c r="D296" s="3"/>
      <c r="E296" s="3"/>
      <c r="F296" s="3"/>
      <c r="M296" s="16" t="s">
        <v>71</v>
      </c>
      <c r="N296" s="16" t="s">
        <v>106</v>
      </c>
      <c r="O296" s="16" t="s">
        <v>73</v>
      </c>
      <c r="P296" s="16" t="s">
        <v>74</v>
      </c>
      <c r="Q296" t="s">
        <v>81</v>
      </c>
      <c r="R296" t="s">
        <v>71</v>
      </c>
      <c r="S296" t="s">
        <v>85</v>
      </c>
      <c r="T296" t="s">
        <v>88</v>
      </c>
      <c r="U296" t="s">
        <v>92</v>
      </c>
      <c r="V296" t="s">
        <v>93</v>
      </c>
      <c r="W296" t="s">
        <v>71</v>
      </c>
      <c r="X296" t="s">
        <v>106</v>
      </c>
    </row>
    <row r="297" spans="1:24" ht="12.75">
      <c r="A297" s="30" t="s">
        <v>180</v>
      </c>
      <c r="B297" s="33">
        <v>11</v>
      </c>
      <c r="C297" s="34">
        <v>0.1</v>
      </c>
      <c r="D297" s="6" t="s">
        <v>132</v>
      </c>
      <c r="E297" s="36">
        <f>TRUNC(W300)</f>
        <v>281</v>
      </c>
      <c r="F297" s="37">
        <f>ABS(W300-E297)*60</f>
        <v>12.429953772588078</v>
      </c>
      <c r="M297" s="16">
        <v>5</v>
      </c>
      <c r="N297" s="16">
        <v>-8</v>
      </c>
      <c r="O297" s="16">
        <v>0.00187</v>
      </c>
      <c r="P297" s="16">
        <v>-0.00056</v>
      </c>
      <c r="Q297">
        <f>COS(P300)*SIN(O300+$B$375)</f>
        <v>0.9706533204212847</v>
      </c>
      <c r="R297">
        <f>DEGREES(ATAN2(Q298,Q297))+$C$375</f>
        <v>78.79537479860318</v>
      </c>
      <c r="S297">
        <f>RADIANS(R298)</f>
        <v>1.3752387255785894</v>
      </c>
      <c r="T297">
        <f>(COS($D$367)+SIN($D$367)*SIN(S297)*TAN(S300))*$A$364-COS(S297)*TAN(S300)*$A$367</f>
        <v>4.729713844901169E-05</v>
      </c>
      <c r="U297">
        <f>COS(S297)*COS($D$388)*COS($D$367)+SIN(S297)*SIN($D$388)</f>
        <v>0.9145367209276056</v>
      </c>
      <c r="V297">
        <f>COS($D$388)*COS($D$367)*(TAN($D$367)*COS(S300)-SIN(S297)*SIN(S300))+COS(S297)*SIN(S300)*SIN($D$388)</f>
        <v>-0.14581594186011035</v>
      </c>
      <c r="W297">
        <f>DEGREES(U300+T297+S297)</f>
        <v>78.79283410379018</v>
      </c>
      <c r="X297">
        <f>DEGREES(V300+T300+S300)</f>
        <v>-8.190080200258313</v>
      </c>
    </row>
    <row r="298" spans="1:22" ht="12.75">
      <c r="A298" s="3" t="s">
        <v>104</v>
      </c>
      <c r="B298" s="3" t="s">
        <v>105</v>
      </c>
      <c r="C298" s="3" t="s">
        <v>102</v>
      </c>
      <c r="D298" s="3" t="s">
        <v>106</v>
      </c>
      <c r="E298" s="3" t="s">
        <v>105</v>
      </c>
      <c r="F298" s="3" t="s">
        <v>102</v>
      </c>
      <c r="M298" s="16">
        <v>14</v>
      </c>
      <c r="N298" s="16">
        <v>-12</v>
      </c>
      <c r="O298" t="s">
        <v>77</v>
      </c>
      <c r="P298" t="s">
        <v>78</v>
      </c>
      <c r="Q298">
        <f>COS($F$375)*COS(P300)*COS(O300+$B$375)-SIN($F$375)*SIN(P300)</f>
        <v>0.19378544033414047</v>
      </c>
      <c r="R298">
        <f>R297-360*INT(R297/360)</f>
        <v>78.79537479860318</v>
      </c>
      <c r="U298">
        <f>COS(S297)*COS($D$383)*COS($D$367)+SIN(S297)*SIN($D$383)</f>
        <v>0.9281380497160819</v>
      </c>
      <c r="V298">
        <f>COS($D$383)*COS($D$367)*(TAN($D$367)*COS(S300)-SIN(S297)*SIN(S300))+COS(S297)*SIN(S300)*SIN($D$383)</f>
        <v>0.2508413899523364</v>
      </c>
    </row>
    <row r="299" spans="1:24" ht="12.75">
      <c r="A299" s="9">
        <f>($C$370+E297+F297/60)-INT(($C$370+E297+F297/60)/360)*360</f>
        <v>188.11872562953909</v>
      </c>
      <c r="B299" s="22">
        <f>TRUNC(A299)</f>
        <v>188</v>
      </c>
      <c r="C299" s="23">
        <f>(A299-B299)*60</f>
        <v>7.1235377723451165</v>
      </c>
      <c r="D299" s="38" t="str">
        <f>IF(X297&gt;=0,"N","S")</f>
        <v>S</v>
      </c>
      <c r="E299" s="22">
        <f>ABS(TRUNC(X297))</f>
        <v>8</v>
      </c>
      <c r="F299" s="23">
        <f>ABS(X297-TRUNC(X297))*60</f>
        <v>11.404812015498784</v>
      </c>
      <c r="M299" s="17">
        <v>32.272</v>
      </c>
      <c r="N299" s="17">
        <v>-5.91</v>
      </c>
      <c r="O299" s="14">
        <f>M300+O297/3600*$A$361</f>
        <v>78.6344736161779</v>
      </c>
      <c r="P299" s="14">
        <f>N300+P297/3600*$A$361</f>
        <v>-8.201643747803717</v>
      </c>
      <c r="Q299" s="14">
        <f>SIN($F$375)*COS(P300)*COS(O300+$B$375)+COS($F$375)*SIN(P300)</f>
        <v>-0.1424055289293155</v>
      </c>
      <c r="R299" s="14" t="s">
        <v>106</v>
      </c>
      <c r="S299" s="8" t="s">
        <v>86</v>
      </c>
      <c r="T299" s="8" t="s">
        <v>89</v>
      </c>
      <c r="U299" s="8" t="s">
        <v>88</v>
      </c>
      <c r="V299" s="8" t="s">
        <v>89</v>
      </c>
      <c r="W299" s="8" t="s">
        <v>97</v>
      </c>
      <c r="X299" s="8"/>
    </row>
    <row r="300" spans="1:23" ht="12.75">
      <c r="A300" s="3"/>
      <c r="B300" s="3"/>
      <c r="C300" s="3"/>
      <c r="D300" s="3"/>
      <c r="E300" s="3"/>
      <c r="F300" s="3"/>
      <c r="M300" s="13">
        <f>(M297+M298/60+M299/3600)*15</f>
        <v>78.63446666666667</v>
      </c>
      <c r="N300" s="13">
        <f>N297+N298/60+N299/3600</f>
        <v>-8.201641666666665</v>
      </c>
      <c r="O300">
        <f>RADIANS(O299)</f>
        <v>1.3724304701749162</v>
      </c>
      <c r="P300">
        <f>RADIANS(P299)</f>
        <v>-0.1431456874747823</v>
      </c>
      <c r="R300">
        <f>DEGREES(ASIN(Q299))</f>
        <v>-8.187067841853333</v>
      </c>
      <c r="S300">
        <f>RADIANS(R300)</f>
        <v>-0.14289128992448707</v>
      </c>
      <c r="T300">
        <f>SIN($D$367)*COS(S297)*$A$364+SIN(S297)*$A$367</f>
        <v>-2.740868628583346E-05</v>
      </c>
      <c r="U300" s="15">
        <f>($A$388*U297-U298)*$V$12/COS(S300)</f>
        <v>-9.164062822423312E-05</v>
      </c>
      <c r="V300" s="15">
        <f>($A$388*V297-V298)*$V$12</f>
        <v>-2.5166886131190038E-05</v>
      </c>
      <c r="W300">
        <f>360-W297</f>
        <v>281.2071658962098</v>
      </c>
    </row>
    <row r="301" spans="1:24" ht="12.75">
      <c r="A301" s="3" t="s">
        <v>107</v>
      </c>
      <c r="B301" s="3" t="s">
        <v>107</v>
      </c>
      <c r="C301" s="3" t="s">
        <v>107</v>
      </c>
      <c r="D301" s="3" t="s">
        <v>107</v>
      </c>
      <c r="E301" s="3" t="s">
        <v>107</v>
      </c>
      <c r="F301" s="3" t="s">
        <v>107</v>
      </c>
      <c r="M301" s="3" t="s">
        <v>107</v>
      </c>
      <c r="N301" s="3" t="s">
        <v>0</v>
      </c>
      <c r="O301" s="3" t="s">
        <v>107</v>
      </c>
      <c r="P301" s="3" t="s">
        <v>107</v>
      </c>
      <c r="Q301" s="3" t="s">
        <v>107</v>
      </c>
      <c r="R301" s="3" t="s">
        <v>107</v>
      </c>
      <c r="S301" s="3" t="s">
        <v>107</v>
      </c>
      <c r="T301" s="3" t="s">
        <v>0</v>
      </c>
      <c r="U301" s="3" t="s">
        <v>107</v>
      </c>
      <c r="V301" s="3" t="s">
        <v>107</v>
      </c>
      <c r="W301" s="3" t="s">
        <v>107</v>
      </c>
      <c r="X301" s="3" t="s">
        <v>107</v>
      </c>
    </row>
    <row r="302" spans="1:24" ht="12.75">
      <c r="A302" s="3"/>
      <c r="B302" s="3"/>
      <c r="C302" s="3"/>
      <c r="D302" s="3"/>
      <c r="E302" s="3"/>
      <c r="F302" s="3"/>
      <c r="M302" s="16" t="s">
        <v>71</v>
      </c>
      <c r="N302" s="16" t="s">
        <v>106</v>
      </c>
      <c r="O302" s="16" t="s">
        <v>73</v>
      </c>
      <c r="P302" s="16" t="s">
        <v>74</v>
      </c>
      <c r="Q302" t="s">
        <v>81</v>
      </c>
      <c r="R302" t="s">
        <v>71</v>
      </c>
      <c r="S302" t="s">
        <v>85</v>
      </c>
      <c r="T302" t="s">
        <v>88</v>
      </c>
      <c r="U302" t="s">
        <v>92</v>
      </c>
      <c r="V302" t="s">
        <v>93</v>
      </c>
      <c r="W302" t="s">
        <v>71</v>
      </c>
      <c r="X302" t="s">
        <v>106</v>
      </c>
    </row>
    <row r="303" spans="1:24" ht="12.75">
      <c r="A303" s="30" t="s">
        <v>0</v>
      </c>
      <c r="B303" s="33">
        <v>38</v>
      </c>
      <c r="C303" s="34">
        <v>-0.3</v>
      </c>
      <c r="D303" s="6" t="s">
        <v>132</v>
      </c>
      <c r="E303" s="36">
        <f>TRUNC(W306)</f>
        <v>139</v>
      </c>
      <c r="F303" s="37">
        <f>ABS(W306-E303)*60</f>
        <v>50.85730024549207</v>
      </c>
      <c r="M303" s="16">
        <v>14</v>
      </c>
      <c r="N303" s="16">
        <v>-60</v>
      </c>
      <c r="O303" s="16">
        <v>-3.608</v>
      </c>
      <c r="P303" s="16">
        <v>0.686</v>
      </c>
      <c r="Q303">
        <f>COS(P306)*SIN(O306+$B$375)</f>
        <v>-0.31309124207875594</v>
      </c>
      <c r="R303">
        <f>DEGREES(ATAN2(Q304,Q303))+$C$375</f>
        <v>-139.85522639393986</v>
      </c>
      <c r="S303">
        <f>RADIANS(R304)</f>
        <v>3.84225113048326</v>
      </c>
      <c r="T303">
        <f>(COS($D$367)+SIN($D$367)*SIN(S303)*TAN(S306))*$A$364-COS(S303)*TAN(S306)*$A$367</f>
        <v>0.0001215227067145784</v>
      </c>
      <c r="U303">
        <f>COS(S303)*COS($D$388)*COS($D$367)+SIN(S303)*SIN($D$388)</f>
        <v>-0.46800326716534657</v>
      </c>
      <c r="V303">
        <f>COS($D$388)*COS($D$367)*(TAN($D$367)*COS(S306)-SIN(S303)*SIN(S306))+COS(S303)*SIN(S306)*SIN($D$388)</f>
        <v>0.7239581995811494</v>
      </c>
      <c r="W303">
        <f>DEGREES(U306+T303+S303)</f>
        <v>220.1623783292418</v>
      </c>
      <c r="X303">
        <f>DEGREES(V306+T306+S306)</f>
        <v>-60.89209224018687</v>
      </c>
    </row>
    <row r="304" spans="1:22" ht="12.75">
      <c r="A304" s="3" t="s">
        <v>104</v>
      </c>
      <c r="B304" s="3" t="s">
        <v>105</v>
      </c>
      <c r="C304" s="3" t="s">
        <v>102</v>
      </c>
      <c r="D304" s="3" t="s">
        <v>106</v>
      </c>
      <c r="E304" s="3" t="s">
        <v>105</v>
      </c>
      <c r="F304" s="3" t="s">
        <v>102</v>
      </c>
      <c r="M304" s="16">
        <v>39</v>
      </c>
      <c r="N304" s="16">
        <v>-50</v>
      </c>
      <c r="O304" t="s">
        <v>77</v>
      </c>
      <c r="P304" t="s">
        <v>78</v>
      </c>
      <c r="Q304">
        <f>COS($F$375)*COS(P306)*COS(O306+$B$375)-SIN($F$375)*SIN(P306)</f>
        <v>-0.37234744678416315</v>
      </c>
      <c r="R304">
        <f>R303-360*INT(R303/360)</f>
        <v>220.14477360606014</v>
      </c>
      <c r="U304">
        <f>COS(S303)*COS($D$383)*COS($D$367)+SIN(S303)*SIN($D$383)</f>
        <v>-0.9171787569021622</v>
      </c>
      <c r="V304">
        <f>COS($D$383)*COS($D$367)*(TAN($D$367)*COS(S306)-SIN(S303)*SIN(S306))+COS(S303)*SIN(S306)*SIN($D$383)</f>
        <v>0.39808301836012056</v>
      </c>
    </row>
    <row r="305" spans="1:24" ht="12.75">
      <c r="A305" s="9">
        <f>($C$370+E303+F303/60)-INT(($C$370+E303+F303/60)/360)*360</f>
        <v>46.75918140408754</v>
      </c>
      <c r="B305" s="22">
        <f>TRUNC(A305)</f>
        <v>46</v>
      </c>
      <c r="C305" s="23">
        <f>(A305-B305)*60</f>
        <v>45.55088424525252</v>
      </c>
      <c r="D305" s="38" t="str">
        <f>IF(X303&gt;=0,"N","S")</f>
        <v>S</v>
      </c>
      <c r="E305" s="22">
        <f>ABS(TRUNC(X303))</f>
        <v>60</v>
      </c>
      <c r="F305" s="23">
        <f>ABS(X303-TRUNC(X303))*60</f>
        <v>53.52553441121216</v>
      </c>
      <c r="M305" s="17">
        <v>36.204</v>
      </c>
      <c r="N305" s="17">
        <v>-8.23</v>
      </c>
      <c r="O305" s="14">
        <f>M306+O303/3600*$A$361</f>
        <v>219.88744153128312</v>
      </c>
      <c r="P305" s="14">
        <f>N306+P303/3600*$A$361</f>
        <v>-60.833070051556476</v>
      </c>
      <c r="Q305" s="14">
        <f>SIN($F$375)*COS(P306)*COS(O306+$B$375)+COS($F$375)*SIN(P306)</f>
        <v>-0.873688304263538</v>
      </c>
      <c r="R305" s="14" t="s">
        <v>106</v>
      </c>
      <c r="S305" s="8" t="s">
        <v>86</v>
      </c>
      <c r="T305" s="8" t="s">
        <v>89</v>
      </c>
      <c r="U305" s="8" t="s">
        <v>88</v>
      </c>
      <c r="V305" s="8" t="s">
        <v>89</v>
      </c>
      <c r="W305" s="8" t="s">
        <v>34</v>
      </c>
      <c r="X305" s="8"/>
    </row>
    <row r="306" spans="1:23" ht="12.75">
      <c r="A306" s="3"/>
      <c r="B306" s="3"/>
      <c r="C306" s="3"/>
      <c r="D306" s="3"/>
      <c r="E306" s="3"/>
      <c r="F306" s="3"/>
      <c r="M306" s="13">
        <f>(M303+M304/60+M305/3600)*15</f>
        <v>219.90085000000002</v>
      </c>
      <c r="N306" s="13">
        <f>N303+N304/60+N305/3600</f>
        <v>-60.83561944444445</v>
      </c>
      <c r="O306">
        <f>RADIANS(O305)</f>
        <v>3.8377598385074125</v>
      </c>
      <c r="P306">
        <f>RADIANS(P305)</f>
        <v>-1.0617373664960172</v>
      </c>
      <c r="R306">
        <f>DEGREES(ASIN(Q305))</f>
        <v>-60.89011495648695</v>
      </c>
      <c r="S306">
        <f>RADIANS(R306)</f>
        <v>-1.062732987908541</v>
      </c>
      <c r="T306">
        <f>SIN($D$367)*COS(S303)*$A$364+SIN(S303)*$A$367</f>
        <v>3.843891767403703E-06</v>
      </c>
      <c r="U306" s="15">
        <f>($A$388*U303-U304)*$V$12/COS(S306)</f>
        <v>0.00018573767670706872</v>
      </c>
      <c r="V306" s="15">
        <f>($A$388*V303-V304)*$V$12</f>
        <v>-3.835400257705841E-05</v>
      </c>
      <c r="W306">
        <f>360-W303+0.01</f>
        <v>139.8476216707582</v>
      </c>
    </row>
    <row r="307" spans="1:24" ht="12.75">
      <c r="A307" s="3" t="s">
        <v>107</v>
      </c>
      <c r="B307" s="3" t="s">
        <v>107</v>
      </c>
      <c r="C307" s="3" t="s">
        <v>107</v>
      </c>
      <c r="D307" s="3" t="s">
        <v>107</v>
      </c>
      <c r="E307" s="3" t="s">
        <v>107</v>
      </c>
      <c r="F307" s="3" t="s">
        <v>107</v>
      </c>
      <c r="M307" s="3" t="s">
        <v>107</v>
      </c>
      <c r="N307" s="3" t="s">
        <v>1</v>
      </c>
      <c r="O307" s="3" t="s">
        <v>107</v>
      </c>
      <c r="P307" s="3" t="s">
        <v>107</v>
      </c>
      <c r="Q307" s="3" t="s">
        <v>107</v>
      </c>
      <c r="R307" s="3" t="s">
        <v>107</v>
      </c>
      <c r="S307" s="3" t="s">
        <v>107</v>
      </c>
      <c r="T307" s="3" t="s">
        <v>1</v>
      </c>
      <c r="U307" s="3" t="s">
        <v>107</v>
      </c>
      <c r="V307" s="3" t="s">
        <v>107</v>
      </c>
      <c r="W307" s="3" t="s">
        <v>107</v>
      </c>
      <c r="X307" s="3" t="s">
        <v>107</v>
      </c>
    </row>
    <row r="308" spans="1:24" ht="12.75">
      <c r="A308" s="3"/>
      <c r="B308" s="3"/>
      <c r="C308" s="3"/>
      <c r="D308" s="3"/>
      <c r="E308" s="3"/>
      <c r="F308" s="3"/>
      <c r="M308" s="16" t="s">
        <v>71</v>
      </c>
      <c r="N308" s="16" t="s">
        <v>106</v>
      </c>
      <c r="O308" s="16" t="s">
        <v>73</v>
      </c>
      <c r="P308" s="16" t="s">
        <v>74</v>
      </c>
      <c r="Q308" t="s">
        <v>81</v>
      </c>
      <c r="R308" t="s">
        <v>71</v>
      </c>
      <c r="S308" t="s">
        <v>85</v>
      </c>
      <c r="T308" t="s">
        <v>88</v>
      </c>
      <c r="U308" t="s">
        <v>92</v>
      </c>
      <c r="V308" t="s">
        <v>93</v>
      </c>
      <c r="W308" t="s">
        <v>71</v>
      </c>
      <c r="X308" t="s">
        <v>106</v>
      </c>
    </row>
    <row r="309" spans="1:24" ht="12.75">
      <c r="A309" s="30" t="s">
        <v>1</v>
      </c>
      <c r="B309" s="33">
        <v>44</v>
      </c>
      <c r="C309" s="34">
        <v>2.4</v>
      </c>
      <c r="D309" s="6" t="s">
        <v>132</v>
      </c>
      <c r="E309" s="36">
        <f>TRUNC(W312)</f>
        <v>102</v>
      </c>
      <c r="F309" s="37">
        <f>ABS(W312-E309)*60</f>
        <v>12.27380134578766</v>
      </c>
      <c r="M309" s="16">
        <v>17</v>
      </c>
      <c r="N309" s="16">
        <v>-15</v>
      </c>
      <c r="O309" s="16">
        <v>0.04116</v>
      </c>
      <c r="P309" s="16">
        <v>0.09765</v>
      </c>
      <c r="Q309">
        <f>COS(P312)*SIN(O312+$B$375)</f>
        <v>-0.9404101093628573</v>
      </c>
      <c r="R309">
        <f>DEGREES(ATAN2(Q310,Q309))+$C$375</f>
        <v>-102.21339835813124</v>
      </c>
      <c r="S309">
        <f>RADIANS(R310)</f>
        <v>4.499224966177629</v>
      </c>
      <c r="T309">
        <f>(COS($D$367)+SIN($D$367)*SIN(S309)*TAN(S312))*$A$364-COS(S309)*TAN(S312)*$A$367</f>
        <v>5.940219140104478E-05</v>
      </c>
      <c r="U309">
        <f>COS(S309)*COS($D$388)*COS($D$367)+SIN(S309)*SIN($D$388)</f>
        <v>-0.9074544259205837</v>
      </c>
      <c r="V309">
        <f>COS($D$388)*COS($D$367)*(TAN($D$367)*COS(S312)-SIN(S309)*SIN(S312))+COS(S309)*SIN(S312)*SIN($D$388)</f>
        <v>0.024094958663638866</v>
      </c>
      <c r="W309">
        <f>DEGREES(U312+T309+S309)</f>
        <v>257.7954366442369</v>
      </c>
      <c r="X309">
        <f>DEGREES(V312+T312+S312)</f>
        <v>-15.73957907830319</v>
      </c>
    </row>
    <row r="310" spans="1:22" ht="12.75">
      <c r="A310" s="3" t="s">
        <v>104</v>
      </c>
      <c r="B310" s="3" t="s">
        <v>105</v>
      </c>
      <c r="C310" s="3" t="s">
        <v>102</v>
      </c>
      <c r="D310" s="3" t="s">
        <v>106</v>
      </c>
      <c r="E310" s="3" t="s">
        <v>105</v>
      </c>
      <c r="F310" s="3" t="s">
        <v>102</v>
      </c>
      <c r="M310" s="16">
        <v>10</v>
      </c>
      <c r="N310" s="16">
        <v>-43</v>
      </c>
      <c r="O310" t="s">
        <v>77</v>
      </c>
      <c r="P310" t="s">
        <v>78</v>
      </c>
      <c r="Q310">
        <f>COS($F$375)*COS(P312)*COS(O312+$B$375)-SIN($F$375)*SIN(P312)</f>
        <v>-0.20502726382330114</v>
      </c>
      <c r="R310">
        <f>R309-360*INT(R309/360)</f>
        <v>257.78660164186874</v>
      </c>
      <c r="U310">
        <f>COS(S309)*COS($D$383)*COS($D$367)+SIN(S309)*SIN($D$383)</f>
        <v>-0.9334156822148548</v>
      </c>
      <c r="V310">
        <f>COS($D$383)*COS($D$367)*(TAN($D$367)*COS(S312)-SIN(S309)*SIN(S312))+COS(S309)*SIN(S312)*SIN($D$383)</f>
        <v>0.12218526019172006</v>
      </c>
    </row>
    <row r="311" spans="1:24" ht="12.75">
      <c r="A311" s="9">
        <f>($C$370+E309+F309/60)-INT(($C$370+E309+F309/60)/360)*360</f>
        <v>9.116123089092468</v>
      </c>
      <c r="B311" s="22">
        <f>TRUNC(A311)</f>
        <v>9</v>
      </c>
      <c r="C311" s="23">
        <f>(A311-B311)*60</f>
        <v>6.967385345548109</v>
      </c>
      <c r="D311" s="38" t="str">
        <f>IF(X309&gt;=0,"N","S")</f>
        <v>S</v>
      </c>
      <c r="E311" s="22">
        <f>ABS(TRUNC(X309))</f>
        <v>15</v>
      </c>
      <c r="F311" s="23">
        <f>ABS(X309-TRUNC(X309))*60</f>
        <v>44.374744698191435</v>
      </c>
      <c r="M311" s="17">
        <v>22.687</v>
      </c>
      <c r="N311" s="17">
        <v>-29.68</v>
      </c>
      <c r="O311" s="14">
        <f>M312+O309/3600*$A$361</f>
        <v>257.59468213023996</v>
      </c>
      <c r="P311" s="14">
        <f>N312+P309/3600*$A$361</f>
        <v>-15.724548212837773</v>
      </c>
      <c r="Q311" s="14">
        <f>SIN($F$375)*COS(P312)*COS(O312+$B$375)+COS($F$375)*SIN(P312)</f>
        <v>-0.2712796477756288</v>
      </c>
      <c r="R311" s="14" t="s">
        <v>106</v>
      </c>
      <c r="S311" s="8" t="s">
        <v>86</v>
      </c>
      <c r="T311" s="8" t="s">
        <v>89</v>
      </c>
      <c r="U311" s="8" t="s">
        <v>88</v>
      </c>
      <c r="V311" s="8" t="s">
        <v>89</v>
      </c>
      <c r="W311" s="8" t="s">
        <v>97</v>
      </c>
      <c r="X311" s="8"/>
    </row>
    <row r="312" spans="1:23" ht="12.75">
      <c r="A312" s="3"/>
      <c r="B312" s="3"/>
      <c r="C312" s="3"/>
      <c r="D312" s="3"/>
      <c r="E312" s="3"/>
      <c r="F312" s="3"/>
      <c r="M312" s="13">
        <f>(M309+M310/60+M311/3600)*15</f>
        <v>257.5945291666667</v>
      </c>
      <c r="N312" s="13">
        <f>N309+N310/60+N311/3600</f>
        <v>-15.724911111111112</v>
      </c>
      <c r="O312">
        <f>RADIANS(O311)</f>
        <v>4.495875338800888</v>
      </c>
      <c r="P312">
        <f>RADIANS(P311)</f>
        <v>-0.2744451397026092</v>
      </c>
      <c r="R312">
        <f>DEGREES(ASIN(Q311))</f>
        <v>-15.740427540210291</v>
      </c>
      <c r="S312">
        <f>RADIANS(R312)</f>
        <v>-0.2747222862482617</v>
      </c>
      <c r="T312">
        <f>SIN($D$367)*COS(S309)*$A$364+SIN(S309)*$A$367</f>
        <v>2.6909412316979915E-05</v>
      </c>
      <c r="U312" s="15">
        <f>($A$388*U309-U310)*$V$12/COS(S312)</f>
        <v>9.479768934524897E-05</v>
      </c>
      <c r="V312" s="15">
        <f>($A$388*V309-V310)*$V$12</f>
        <v>-1.2100958460353059E-05</v>
      </c>
      <c r="W312">
        <f>360-W309</f>
        <v>102.20456335576313</v>
      </c>
    </row>
    <row r="313" spans="1:24" ht="12.75">
      <c r="A313" s="3" t="s">
        <v>107</v>
      </c>
      <c r="B313" s="3" t="s">
        <v>107</v>
      </c>
      <c r="C313" s="3" t="s">
        <v>107</v>
      </c>
      <c r="D313" s="3" t="s">
        <v>107</v>
      </c>
      <c r="E313" s="3" t="s">
        <v>107</v>
      </c>
      <c r="F313" s="3" t="s">
        <v>107</v>
      </c>
      <c r="M313" s="3" t="s">
        <v>107</v>
      </c>
      <c r="N313" s="3" t="s">
        <v>2</v>
      </c>
      <c r="O313" s="3" t="s">
        <v>107</v>
      </c>
      <c r="P313" s="3" t="s">
        <v>107</v>
      </c>
      <c r="Q313" s="3" t="s">
        <v>107</v>
      </c>
      <c r="R313" s="3" t="s">
        <v>107</v>
      </c>
      <c r="S313" s="3" t="s">
        <v>107</v>
      </c>
      <c r="T313" s="3" t="s">
        <v>2</v>
      </c>
      <c r="U313" s="3" t="s">
        <v>107</v>
      </c>
      <c r="V313" s="3" t="s">
        <v>107</v>
      </c>
      <c r="W313" s="3" t="s">
        <v>107</v>
      </c>
      <c r="X313" s="3" t="s">
        <v>107</v>
      </c>
    </row>
    <row r="314" spans="1:24" ht="12.75">
      <c r="A314" s="3"/>
      <c r="B314" s="3"/>
      <c r="C314" s="3"/>
      <c r="D314" s="3"/>
      <c r="E314" s="3"/>
      <c r="F314" s="3"/>
      <c r="M314" s="16" t="s">
        <v>71</v>
      </c>
      <c r="N314" s="16" t="s">
        <v>106</v>
      </c>
      <c r="O314" s="16" t="s">
        <v>73</v>
      </c>
      <c r="P314" s="16" t="s">
        <v>74</v>
      </c>
      <c r="Q314" t="s">
        <v>81</v>
      </c>
      <c r="R314" t="s">
        <v>71</v>
      </c>
      <c r="S314" t="s">
        <v>85</v>
      </c>
      <c r="T314" t="s">
        <v>88</v>
      </c>
      <c r="U314" t="s">
        <v>92</v>
      </c>
      <c r="V314" t="s">
        <v>93</v>
      </c>
      <c r="W314" t="s">
        <v>71</v>
      </c>
      <c r="X314" t="s">
        <v>106</v>
      </c>
    </row>
    <row r="315" spans="1:24" ht="12.75">
      <c r="A315" s="30" t="s">
        <v>2</v>
      </c>
      <c r="B315" s="33">
        <v>3</v>
      </c>
      <c r="C315" s="34">
        <v>2.2</v>
      </c>
      <c r="D315" s="6" t="s">
        <v>132</v>
      </c>
      <c r="E315" s="36">
        <f>TRUNC(W318)</f>
        <v>349</v>
      </c>
      <c r="F315" s="37">
        <f>ABS(W318-E315)*60</f>
        <v>40.91786151982319</v>
      </c>
      <c r="M315" s="16">
        <v>0</v>
      </c>
      <c r="N315" s="16">
        <v>56</v>
      </c>
      <c r="O315" s="16">
        <v>0.05036</v>
      </c>
      <c r="P315" s="16">
        <v>-0.03217</v>
      </c>
      <c r="Q315">
        <f>COS(P318)*SIN(O318+$B$375)</f>
        <v>0.09776428770143078</v>
      </c>
      <c r="R315">
        <f>DEGREES(ATAN2(Q316,Q315))+$C$375</f>
        <v>10.318472341561318</v>
      </c>
      <c r="S315">
        <f>RADIANS(R316)</f>
        <v>0.18009131613621393</v>
      </c>
      <c r="T315">
        <f>(COS($D$367)+SIN($D$367)*SIN(S315)*TAN(S318))*$A$364-COS(S315)*TAN(S318)*$A$367</f>
        <v>0.00010567771217963681</v>
      </c>
      <c r="U315">
        <f>COS(S315)*COS($D$388)*COS($D$367)+SIN(S315)*SIN($D$388)</f>
        <v>-0.03121494944347808</v>
      </c>
      <c r="V315">
        <f>COS($D$388)*COS($D$367)*(TAN($D$367)*COS(S318)-SIN(S315)*SIN(S318))+COS(S315)*SIN(S318)*SIN($D$388)</f>
        <v>0.7812472241399411</v>
      </c>
      <c r="W315">
        <f>DEGREES(U318+T315+S315)</f>
        <v>10.318035641336284</v>
      </c>
      <c r="X315">
        <f>DEGREES(V318+T318+S318)</f>
        <v>56.60728734925451</v>
      </c>
    </row>
    <row r="316" spans="1:22" ht="12.75">
      <c r="A316" s="3" t="s">
        <v>104</v>
      </c>
      <c r="B316" s="3" t="s">
        <v>105</v>
      </c>
      <c r="C316" s="3" t="s">
        <v>102</v>
      </c>
      <c r="D316" s="3" t="s">
        <v>106</v>
      </c>
      <c r="E316" s="3" t="s">
        <v>105</v>
      </c>
      <c r="F316" s="3" t="s">
        <v>102</v>
      </c>
      <c r="M316" s="16">
        <v>40</v>
      </c>
      <c r="N316" s="16">
        <v>32</v>
      </c>
      <c r="O316" t="s">
        <v>77</v>
      </c>
      <c r="P316" t="s">
        <v>78</v>
      </c>
      <c r="Q316">
        <f>COS($F$375)*COS(P318)*COS(O318+$B$375)-SIN($F$375)*SIN(P318)</f>
        <v>0.5415741447375199</v>
      </c>
      <c r="R316">
        <f>R315-360*INT(R315/360)</f>
        <v>10.318472341561318</v>
      </c>
      <c r="U316">
        <f>COS(S315)*COS($D$383)*COS($D$367)+SIN(S315)*SIN($D$383)</f>
        <v>0.6269814661512434</v>
      </c>
      <c r="V316">
        <f>COS($D$383)*COS($D$367)*(TAN($D$367)*COS(S318)-SIN(S315)*SIN(S318))+COS(S315)*SIN(S318)*SIN($D$383)</f>
        <v>0.7416650931508814</v>
      </c>
    </row>
    <row r="317" spans="1:24" ht="12.75">
      <c r="A317" s="9">
        <f>($C$370+E315+F315/60)-INT(($C$370+E315+F315/60)/360)*360</f>
        <v>256.593524091993</v>
      </c>
      <c r="B317" s="22">
        <f>TRUNC(A317)</f>
        <v>256</v>
      </c>
      <c r="C317" s="23">
        <f>(A317-B317)*60</f>
        <v>35.61144551958023</v>
      </c>
      <c r="D317" s="38" t="str">
        <f>IF(X315&gt;=0,"N","S")</f>
        <v>N</v>
      </c>
      <c r="E317" s="22">
        <f>ABS(TRUNC(X315))</f>
        <v>56</v>
      </c>
      <c r="F317" s="23">
        <f>ABS(X315-TRUNC(X315))*60</f>
        <v>36.43724095527077</v>
      </c>
      <c r="M317" s="17">
        <v>30.441</v>
      </c>
      <c r="N317" s="17">
        <v>14.39</v>
      </c>
      <c r="O317" s="14">
        <f>M318+O315/3600*$A$361</f>
        <v>10.127024653681978</v>
      </c>
      <c r="P317" s="14">
        <f>N318+P315/3600*$A$361</f>
        <v>56.53721100166459</v>
      </c>
      <c r="Q317" s="14">
        <f>SIN($F$375)*COS(P318)*COS(O318+$B$375)+COS($F$375)*SIN(P318)</f>
        <v>0.8349488546025173</v>
      </c>
      <c r="R317" s="14" t="s">
        <v>106</v>
      </c>
      <c r="S317" s="8" t="s">
        <v>86</v>
      </c>
      <c r="T317" s="8" t="s">
        <v>89</v>
      </c>
      <c r="U317" s="8" t="s">
        <v>88</v>
      </c>
      <c r="V317" s="8" t="s">
        <v>89</v>
      </c>
      <c r="W317" s="8" t="s">
        <v>97</v>
      </c>
      <c r="X317" s="8"/>
    </row>
    <row r="318" spans="1:23" ht="12.75">
      <c r="A318" s="3"/>
      <c r="B318" s="3"/>
      <c r="C318" s="3"/>
      <c r="D318" s="3"/>
      <c r="E318" s="3"/>
      <c r="F318" s="3"/>
      <c r="M318" s="13">
        <f>(M315+M316/60+M317/3600)*15</f>
        <v>10.126837499999999</v>
      </c>
      <c r="N318" s="13">
        <f>N315+N316/60+N317/3600</f>
        <v>56.537330555555556</v>
      </c>
      <c r="O318">
        <f>RADIANS(O317)</f>
        <v>0.176749923637389</v>
      </c>
      <c r="P318">
        <f>RADIANS(P317)</f>
        <v>0.9867604818738084</v>
      </c>
      <c r="R318">
        <f>DEGREES(ASIN(Q317))</f>
        <v>56.61051296132904</v>
      </c>
      <c r="S318">
        <f>RADIANS(R318)</f>
        <v>0.9880398424181172</v>
      </c>
      <c r="T318">
        <f>SIN($D$367)*COS(S315)*$A$364+SIN(S315)*$A$367</f>
        <v>1.6101431189412104E-05</v>
      </c>
      <c r="U318" s="15">
        <f>($A$388*U315-U316)*$V$12/COS(S318)</f>
        <v>-0.00011329956895068932</v>
      </c>
      <c r="V318" s="15">
        <f>($A$388*V315-V316)*$V$12</f>
        <v>-7.239898228202049E-05</v>
      </c>
      <c r="W318">
        <f>360-W315</f>
        <v>349.6819643586637</v>
      </c>
    </row>
    <row r="319" spans="1:24" ht="12.75">
      <c r="A319" s="3" t="s">
        <v>107</v>
      </c>
      <c r="B319" s="3" t="s">
        <v>107</v>
      </c>
      <c r="C319" s="3" t="s">
        <v>107</v>
      </c>
      <c r="D319" s="3" t="s">
        <v>107</v>
      </c>
      <c r="E319" s="3" t="s">
        <v>107</v>
      </c>
      <c r="F319" s="3" t="s">
        <v>107</v>
      </c>
      <c r="M319" s="3" t="s">
        <v>107</v>
      </c>
      <c r="N319" s="3" t="s">
        <v>3</v>
      </c>
      <c r="O319" s="3" t="s">
        <v>107</v>
      </c>
      <c r="P319" s="3" t="s">
        <v>107</v>
      </c>
      <c r="Q319" s="3" t="s">
        <v>107</v>
      </c>
      <c r="R319" s="3" t="s">
        <v>107</v>
      </c>
      <c r="S319" s="3" t="s">
        <v>107</v>
      </c>
      <c r="T319" s="3" t="s">
        <v>3</v>
      </c>
      <c r="U319" s="3" t="s">
        <v>107</v>
      </c>
      <c r="V319" s="3" t="s">
        <v>107</v>
      </c>
      <c r="W319" s="3" t="s">
        <v>107</v>
      </c>
      <c r="X319" s="3" t="s">
        <v>107</v>
      </c>
    </row>
    <row r="320" spans="1:24" ht="12.75">
      <c r="A320" s="3"/>
      <c r="B320" s="3"/>
      <c r="C320" s="3"/>
      <c r="D320" s="3"/>
      <c r="E320" s="3"/>
      <c r="F320" s="3"/>
      <c r="M320" s="16" t="s">
        <v>71</v>
      </c>
      <c r="N320" s="16" t="s">
        <v>106</v>
      </c>
      <c r="O320" s="16" t="s">
        <v>73</v>
      </c>
      <c r="P320" s="16" t="s">
        <v>74</v>
      </c>
      <c r="Q320" t="s">
        <v>81</v>
      </c>
      <c r="R320" t="s">
        <v>71</v>
      </c>
      <c r="S320" t="s">
        <v>85</v>
      </c>
      <c r="T320" t="s">
        <v>88</v>
      </c>
      <c r="U320" t="s">
        <v>92</v>
      </c>
      <c r="V320" t="s">
        <v>93</v>
      </c>
      <c r="W320" t="s">
        <v>71</v>
      </c>
      <c r="X320" t="s">
        <v>106</v>
      </c>
    </row>
    <row r="321" spans="1:24" ht="12.75">
      <c r="A321" s="30" t="s">
        <v>3</v>
      </c>
      <c r="B321" s="33">
        <v>45</v>
      </c>
      <c r="C321" s="34">
        <v>1.6</v>
      </c>
      <c r="D321" s="6" t="s">
        <v>132</v>
      </c>
      <c r="E321" s="36">
        <f>TRUNC(W324)</f>
        <v>96</v>
      </c>
      <c r="F321" s="37">
        <f>ABS(W324-E321)*60</f>
        <v>21.605852445949267</v>
      </c>
      <c r="M321" s="16">
        <v>17</v>
      </c>
      <c r="N321" s="16">
        <v>-37</v>
      </c>
      <c r="O321" s="16">
        <v>-0.0089</v>
      </c>
      <c r="P321" s="16">
        <v>-0.02995</v>
      </c>
      <c r="Q321">
        <f>COS(P324)*SIN(O324+$B$375)</f>
        <v>-0.7923966197534341</v>
      </c>
      <c r="R321">
        <f>DEGREES(ATAN2(Q322,Q321))+$C$375</f>
        <v>-96.37045844590993</v>
      </c>
      <c r="S321">
        <f>RADIANS(R322)</f>
        <v>4.60120350564208</v>
      </c>
      <c r="T321">
        <f>(COS($D$367)+SIN($D$367)*SIN(S321)*TAN(S324))*$A$364-COS(S321)*TAN(S324)*$A$367</f>
        <v>7.079390110559925E-05</v>
      </c>
      <c r="U321">
        <f>COS(S321)*COS($D$388)*COS($D$367)+SIN(S321)*SIN($D$388)</f>
        <v>-0.9445057753402049</v>
      </c>
      <c r="V321">
        <f>COS($D$388)*COS($D$367)*(TAN($D$367)*COS(S324)-SIN(S321)*SIN(S324))+COS(S321)*SIN(S324)*SIN($D$388)</f>
        <v>0.11827084777408586</v>
      </c>
      <c r="W321">
        <f>DEGREES(U324+T321+S321)</f>
        <v>263.6399024592342</v>
      </c>
      <c r="X321">
        <f>DEGREES(V324+T324+S324)</f>
        <v>-37.11025978164791</v>
      </c>
    </row>
    <row r="322" spans="1:22" ht="12.75">
      <c r="A322" s="3" t="s">
        <v>104</v>
      </c>
      <c r="B322" s="3" t="s">
        <v>105</v>
      </c>
      <c r="C322" s="3" t="s">
        <v>102</v>
      </c>
      <c r="D322" s="3" t="s">
        <v>106</v>
      </c>
      <c r="E322" s="3" t="s">
        <v>105</v>
      </c>
      <c r="F322" s="3" t="s">
        <v>102</v>
      </c>
      <c r="M322" s="16">
        <v>33</v>
      </c>
      <c r="N322" s="16">
        <v>-6</v>
      </c>
      <c r="O322" t="s">
        <v>77</v>
      </c>
      <c r="P322" t="s">
        <v>78</v>
      </c>
      <c r="Q322">
        <f>COS($F$375)*COS(P324)*COS(O324+$B$375)-SIN($F$375)*SIN(P324)</f>
        <v>-0.08966821321152005</v>
      </c>
      <c r="R322">
        <f>R321-360*INT(R321/360)</f>
        <v>263.62954155409005</v>
      </c>
      <c r="U322">
        <f>COS(S321)*COS($D$383)*COS($D$367)+SIN(S321)*SIN($D$383)</f>
        <v>-0.898885508615215</v>
      </c>
      <c r="V322">
        <f>COS($D$383)*COS($D$367)*(TAN($D$367)*COS(S324)-SIN(S321)*SIN(S324))+COS(S321)*SIN(S324)*SIN($D$383)</f>
        <v>-0.06557586868579703</v>
      </c>
    </row>
    <row r="323" spans="1:24" ht="12.75">
      <c r="A323" s="9">
        <f>($C$370+E321+F321/60)-INT(($C$370+E321+F321/60)/360)*360</f>
        <v>3.271657274095162</v>
      </c>
      <c r="B323" s="22">
        <f>TRUNC(A323)</f>
        <v>3</v>
      </c>
      <c r="C323" s="23">
        <f>(A323-B323)*60</f>
        <v>16.299436445709716</v>
      </c>
      <c r="D323" s="38" t="str">
        <f>IF(X321&gt;=0,"N","S")</f>
        <v>S</v>
      </c>
      <c r="E323" s="22">
        <f>ABS(TRUNC(X321))</f>
        <v>37</v>
      </c>
      <c r="F323" s="23">
        <f>ABS(X321-TRUNC(X321))*60</f>
        <v>6.61558689887471</v>
      </c>
      <c r="M323" s="17">
        <v>36.52</v>
      </c>
      <c r="N323" s="17">
        <v>-13.76</v>
      </c>
      <c r="O323" s="14">
        <f>M324+O321/3600*$A$361</f>
        <v>263.4021335914528</v>
      </c>
      <c r="P323" s="14">
        <f>N324+P321/3600*$A$361</f>
        <v>-37.10393352589131</v>
      </c>
      <c r="Q323" s="14">
        <f>SIN($F$375)*COS(P324)*COS(O324+$B$375)+COS($F$375)*SIN(P324)</f>
        <v>-0.6033798211266144</v>
      </c>
      <c r="R323" s="14" t="s">
        <v>106</v>
      </c>
      <c r="S323" s="8" t="s">
        <v>86</v>
      </c>
      <c r="T323" s="8" t="s">
        <v>89</v>
      </c>
      <c r="U323" s="8" t="s">
        <v>88</v>
      </c>
      <c r="V323" s="8" t="s">
        <v>89</v>
      </c>
      <c r="W323" s="8" t="s">
        <v>97</v>
      </c>
      <c r="X323" s="8"/>
    </row>
    <row r="324" spans="1:23" ht="12.75">
      <c r="A324" s="3"/>
      <c r="B324" s="3"/>
      <c r="C324" s="3"/>
      <c r="D324" s="3"/>
      <c r="E324" s="3"/>
      <c r="F324" s="3"/>
      <c r="M324" s="13">
        <f>(M321+M322/60+M323/3600)*15</f>
        <v>263.4021666666667</v>
      </c>
      <c r="N324" s="13">
        <f>N321+N322/60+N323/3600</f>
        <v>-37.10382222222222</v>
      </c>
      <c r="O324">
        <f>RADIANS(O323)</f>
        <v>4.597234487948808</v>
      </c>
      <c r="P324">
        <f>RADIANS(P323)</f>
        <v>-0.647585805467912</v>
      </c>
      <c r="R324">
        <f>DEGREES(ASIN(Q323))</f>
        <v>-37.112344945113385</v>
      </c>
      <c r="S324">
        <f>RADIANS(R324)</f>
        <v>-0.6477326124281029</v>
      </c>
      <c r="T324">
        <f>SIN($D$367)*COS(S321)*$A$364+SIN(S321)*$A$367</f>
        <v>2.968072252370114E-05</v>
      </c>
      <c r="U324" s="15">
        <f>($A$388*U321-U322)*$V$12/COS(S324)</f>
        <v>0.00011003800714603223</v>
      </c>
      <c r="V324" s="15">
        <f>($A$388*V321-V322)*$V$12</f>
        <v>6.712245391263564E-06</v>
      </c>
      <c r="W324">
        <f>360-W321</f>
        <v>96.36009754076582</v>
      </c>
    </row>
    <row r="325" spans="1:24" ht="12.75">
      <c r="A325" s="3" t="s">
        <v>107</v>
      </c>
      <c r="B325" s="3" t="s">
        <v>107</v>
      </c>
      <c r="C325" s="3" t="s">
        <v>107</v>
      </c>
      <c r="D325" s="3" t="s">
        <v>107</v>
      </c>
      <c r="E325" s="3" t="s">
        <v>107</v>
      </c>
      <c r="F325" s="3" t="s">
        <v>107</v>
      </c>
      <c r="M325" s="3" t="s">
        <v>107</v>
      </c>
      <c r="N325" s="3" t="s">
        <v>4</v>
      </c>
      <c r="O325" s="3" t="s">
        <v>107</v>
      </c>
      <c r="P325" s="3" t="s">
        <v>107</v>
      </c>
      <c r="Q325" s="3" t="s">
        <v>107</v>
      </c>
      <c r="R325" s="3" t="s">
        <v>107</v>
      </c>
      <c r="S325" s="3" t="s">
        <v>107</v>
      </c>
      <c r="T325" s="3" t="s">
        <v>4</v>
      </c>
      <c r="U325" s="3" t="s">
        <v>107</v>
      </c>
      <c r="V325" s="3" t="s">
        <v>107</v>
      </c>
      <c r="W325" s="3" t="s">
        <v>107</v>
      </c>
      <c r="X325" s="3" t="s">
        <v>107</v>
      </c>
    </row>
    <row r="326" spans="1:24" ht="12.75">
      <c r="A326" s="3"/>
      <c r="B326" s="3"/>
      <c r="C326" s="3"/>
      <c r="D326" s="3"/>
      <c r="E326" s="3"/>
      <c r="F326" s="3"/>
      <c r="M326" s="16" t="s">
        <v>71</v>
      </c>
      <c r="N326" s="16" t="s">
        <v>106</v>
      </c>
      <c r="O326" s="16" t="s">
        <v>73</v>
      </c>
      <c r="P326" s="16" t="s">
        <v>74</v>
      </c>
      <c r="Q326" t="s">
        <v>81</v>
      </c>
      <c r="R326" t="s">
        <v>71</v>
      </c>
      <c r="S326" t="s">
        <v>85</v>
      </c>
      <c r="T326" t="s">
        <v>88</v>
      </c>
      <c r="U326" t="s">
        <v>92</v>
      </c>
      <c r="V326" t="s">
        <v>93</v>
      </c>
      <c r="W326" t="s">
        <v>71</v>
      </c>
      <c r="X326" t="s">
        <v>106</v>
      </c>
    </row>
    <row r="327" spans="1:24" ht="12.75">
      <c r="A327" s="30" t="s">
        <v>4</v>
      </c>
      <c r="B327" s="33">
        <v>18</v>
      </c>
      <c r="C327" s="34">
        <v>-1.5</v>
      </c>
      <c r="D327" s="6" t="s">
        <v>132</v>
      </c>
      <c r="E327" s="36">
        <f>TRUNC(W330)</f>
        <v>258</v>
      </c>
      <c r="F327" s="37">
        <f>ABS(W330-E327)*60</f>
        <v>34.02093713469753</v>
      </c>
      <c r="M327" s="16">
        <v>6</v>
      </c>
      <c r="N327" s="16">
        <v>-16</v>
      </c>
      <c r="O327" s="16">
        <v>-0.54605</v>
      </c>
      <c r="P327" s="16">
        <v>-1.22314</v>
      </c>
      <c r="Q327">
        <f>COS(P330)*SIN(O330+$B$375)</f>
        <v>0.9389203807628327</v>
      </c>
      <c r="R327">
        <f>DEGREES(ATAN2(Q328,Q327))+$C$375</f>
        <v>101.4345970407222</v>
      </c>
      <c r="S327">
        <f>RADIANS(R328)</f>
        <v>1.770367693794299</v>
      </c>
      <c r="T327">
        <f>(COS($D$367)+SIN($D$367)*SIN(S327)*TAN(S330))*$A$364-COS(S327)*TAN(S330)*$A$367</f>
        <v>4.6711671221591276E-05</v>
      </c>
      <c r="U327">
        <f>COS(S327)*COS($D$388)*COS($D$367)+SIN(S327)*SIN($D$388)</f>
        <v>0.9958172821034732</v>
      </c>
      <c r="V327">
        <f>COS($D$388)*COS($D$367)*(TAN($D$367)*COS(S330)-SIN(S327)*SIN(S330))+COS(S327)*SIN(S330)*SIN($D$388)</f>
        <v>-0.09016550761330436</v>
      </c>
      <c r="W327">
        <f>DEGREES(U330+T327+S327)</f>
        <v>101.43298438108836</v>
      </c>
      <c r="X327">
        <f>DEGREES(V330+T330+S330)</f>
        <v>-16.739603324971792</v>
      </c>
    </row>
    <row r="328" spans="1:22" ht="12.75">
      <c r="A328" s="3" t="s">
        <v>104</v>
      </c>
      <c r="B328" s="3" t="s">
        <v>105</v>
      </c>
      <c r="C328" s="3" t="s">
        <v>102</v>
      </c>
      <c r="D328" s="3" t="s">
        <v>106</v>
      </c>
      <c r="E328" s="3" t="s">
        <v>105</v>
      </c>
      <c r="F328" s="3" t="s">
        <v>102</v>
      </c>
      <c r="M328" s="16">
        <v>45</v>
      </c>
      <c r="N328" s="16">
        <v>-42</v>
      </c>
      <c r="O328" t="s">
        <v>77</v>
      </c>
      <c r="P328" t="s">
        <v>78</v>
      </c>
      <c r="Q328">
        <f>COS($F$375)*COS(P330)*COS(O330+$B$375)-SIN($F$375)*SIN(P330)</f>
        <v>-0.18844802830702206</v>
      </c>
      <c r="R328">
        <f>R327-360*INT(R327/360)</f>
        <v>101.4345970407222</v>
      </c>
      <c r="U328">
        <f>COS(S327)*COS($D$383)*COS($D$367)+SIN(S327)*SIN($D$383)</f>
        <v>0.738086692340344</v>
      </c>
      <c r="V328">
        <f>COS($D$383)*COS($D$367)*(TAN($D$367)*COS(S330)-SIN(S327)*SIN(S330))+COS(S327)*SIN(S330)*SIN($D$383)</f>
        <v>0.3849776460285724</v>
      </c>
    </row>
    <row r="329" spans="1:24" ht="12.75">
      <c r="A329" s="9">
        <f>($C$370+E327+F327/60)-INT(($C$370+E327+F327/60)/360)*360</f>
        <v>165.47857535224102</v>
      </c>
      <c r="B329" s="22">
        <f>TRUNC(A329)</f>
        <v>165</v>
      </c>
      <c r="C329" s="23">
        <f>(A329-B329)*60</f>
        <v>28.714521134461393</v>
      </c>
      <c r="D329" s="38" t="str">
        <f>IF(X327&gt;=0,"N","S")</f>
        <v>S</v>
      </c>
      <c r="E329" s="22">
        <f>ABS(TRUNC(X327))</f>
        <v>16</v>
      </c>
      <c r="F329" s="23">
        <f>ABS(X327-TRUNC(X327))*60</f>
        <v>44.37619949830754</v>
      </c>
      <c r="M329" s="17">
        <v>8.917</v>
      </c>
      <c r="N329" s="17">
        <v>-58.02</v>
      </c>
      <c r="O329" s="14">
        <f>M330+O327/3600*$A$361</f>
        <v>101.28512487222574</v>
      </c>
      <c r="P329" s="14">
        <f>N330+P327/3600*$A$361</f>
        <v>-16.720662241618548</v>
      </c>
      <c r="Q329" s="14">
        <f>SIN($F$375)*COS(P330)*COS(O330+$B$375)+COS($F$375)*SIN(P330)</f>
        <v>-0.28795114032657243</v>
      </c>
      <c r="R329" s="14" t="s">
        <v>106</v>
      </c>
      <c r="S329" s="8" t="s">
        <v>86</v>
      </c>
      <c r="T329" s="8" t="s">
        <v>89</v>
      </c>
      <c r="U329" s="8" t="s">
        <v>88</v>
      </c>
      <c r="V329" s="8" t="s">
        <v>89</v>
      </c>
      <c r="W329" s="8" t="s">
        <v>97</v>
      </c>
      <c r="X329" s="8"/>
    </row>
    <row r="330" spans="1:23" ht="12.75">
      <c r="A330" s="3"/>
      <c r="B330" s="3"/>
      <c r="C330" s="3"/>
      <c r="D330" s="3"/>
      <c r="E330" s="3"/>
      <c r="F330" s="3"/>
      <c r="M330" s="13">
        <f>(M327+M328/60+M329/3600)*15</f>
        <v>101.28715416666667</v>
      </c>
      <c r="N330" s="13">
        <f>N327+N328/60+N329/3600</f>
        <v>-16.716116666666665</v>
      </c>
      <c r="O330">
        <f>RADIANS(O329)</f>
        <v>1.7677589123139401</v>
      </c>
      <c r="P330">
        <f>RADIANS(P329)</f>
        <v>-0.2918306092301393</v>
      </c>
      <c r="R330">
        <f>DEGREES(ASIN(Q329))</f>
        <v>-16.735333471165916</v>
      </c>
      <c r="S330">
        <f>RADIANS(R330)</f>
        <v>-0.29208667049105674</v>
      </c>
      <c r="T330">
        <f>SIN($D$367)*COS(S327)*$A$364+SIN(S327)*$A$367</f>
        <v>-3.612002366786834E-05</v>
      </c>
      <c r="U330" s="15">
        <f>($A$388*U327-U328)*$V$12/COS(S330)</f>
        <v>-7.485789154592815E-05</v>
      </c>
      <c r="V330" s="15">
        <f>($A$388*V327-V328)*$V$12</f>
        <v>-3.8402983823456624E-05</v>
      </c>
      <c r="W330">
        <f>360-W327</f>
        <v>258.5670156189116</v>
      </c>
    </row>
    <row r="331" spans="1:24" ht="12.75">
      <c r="A331" s="3" t="s">
        <v>107</v>
      </c>
      <c r="B331" s="3" t="s">
        <v>107</v>
      </c>
      <c r="C331" s="3" t="s">
        <v>107</v>
      </c>
      <c r="D331" s="3" t="s">
        <v>107</v>
      </c>
      <c r="E331" s="3" t="s">
        <v>107</v>
      </c>
      <c r="F331" s="3" t="s">
        <v>107</v>
      </c>
      <c r="M331" s="3" t="s">
        <v>107</v>
      </c>
      <c r="N331" s="3" t="s">
        <v>5</v>
      </c>
      <c r="O331" s="3" t="s">
        <v>107</v>
      </c>
      <c r="P331" s="3" t="s">
        <v>107</v>
      </c>
      <c r="Q331" s="3" t="s">
        <v>107</v>
      </c>
      <c r="R331" s="3" t="s">
        <v>107</v>
      </c>
      <c r="S331" s="3" t="s">
        <v>107</v>
      </c>
      <c r="T331" s="3" t="s">
        <v>5</v>
      </c>
      <c r="U331" s="3" t="s">
        <v>107</v>
      </c>
      <c r="V331" s="3" t="s">
        <v>107</v>
      </c>
      <c r="W331" s="3" t="s">
        <v>107</v>
      </c>
      <c r="X331" s="3" t="s">
        <v>107</v>
      </c>
    </row>
    <row r="332" spans="1:24" ht="12.75">
      <c r="A332" s="3"/>
      <c r="B332" s="3"/>
      <c r="C332" s="3"/>
      <c r="D332" s="3"/>
      <c r="E332" s="3"/>
      <c r="F332" s="3"/>
      <c r="M332" s="16" t="s">
        <v>71</v>
      </c>
      <c r="N332" s="16" t="s">
        <v>106</v>
      </c>
      <c r="O332" s="16" t="s">
        <v>73</v>
      </c>
      <c r="P332" s="16" t="s">
        <v>74</v>
      </c>
      <c r="Q332" t="s">
        <v>81</v>
      </c>
      <c r="R332" t="s">
        <v>71</v>
      </c>
      <c r="S332" t="s">
        <v>85</v>
      </c>
      <c r="T332" t="s">
        <v>88</v>
      </c>
      <c r="U332" t="s">
        <v>92</v>
      </c>
      <c r="V332" t="s">
        <v>93</v>
      </c>
      <c r="W332" t="s">
        <v>71</v>
      </c>
      <c r="X332" t="s">
        <v>106</v>
      </c>
    </row>
    <row r="333" spans="1:24" ht="12.75">
      <c r="A333" s="30" t="s">
        <v>5</v>
      </c>
      <c r="B333" s="33">
        <v>33</v>
      </c>
      <c r="C333" s="34">
        <v>1</v>
      </c>
      <c r="D333" s="6" t="s">
        <v>132</v>
      </c>
      <c r="E333" s="36">
        <f>TRUNC(W336)</f>
        <v>158</v>
      </c>
      <c r="F333" s="37">
        <f>ABS(W336-E333)*60</f>
        <v>31.040509706148214</v>
      </c>
      <c r="M333" s="16">
        <v>13</v>
      </c>
      <c r="N333" s="16">
        <v>-11</v>
      </c>
      <c r="O333" s="16">
        <v>-0.0425</v>
      </c>
      <c r="P333" s="16">
        <v>-0.03173</v>
      </c>
      <c r="Q333">
        <f>COS(P336)*SIN(O336+$B$375)</f>
        <v>-0.35771702538511535</v>
      </c>
      <c r="R333">
        <f>DEGREES(ATAN2(Q334,Q333))+$C$375</f>
        <v>-158.52511626753838</v>
      </c>
      <c r="S333">
        <f>RADIANS(R334)</f>
        <v>3.5164000812042175</v>
      </c>
      <c r="T333">
        <f>(COS($D$367)+SIN($D$367)*SIN(S333)*TAN(S336))*$A$364-COS(S333)*TAN(S336)*$A$367</f>
        <v>5.8937916837832286E-05</v>
      </c>
      <c r="U333">
        <f>COS(S333)*COS($D$388)*COS($D$367)+SIN(S333)*SIN($D$388)</f>
        <v>-0.16197253893191754</v>
      </c>
      <c r="V333">
        <f>COS($D$388)*COS($D$367)*(TAN($D$367)*COS(S336)-SIN(S333)*SIN(S336))+COS(S333)*SIN(S336)*SIN($D$388)</f>
        <v>0.10251369123904716</v>
      </c>
      <c r="W333">
        <f>DEGREES(U336+T333+S333)</f>
        <v>201.4826581715642</v>
      </c>
      <c r="X333">
        <f>DEGREES(V336+T336+S336)</f>
        <v>-11.233143629679557</v>
      </c>
    </row>
    <row r="334" spans="1:22" ht="12.75">
      <c r="A334" s="3" t="s">
        <v>104</v>
      </c>
      <c r="B334" s="3" t="s">
        <v>105</v>
      </c>
      <c r="C334" s="3" t="s">
        <v>102</v>
      </c>
      <c r="D334" s="3" t="s">
        <v>106</v>
      </c>
      <c r="E334" s="3" t="s">
        <v>105</v>
      </c>
      <c r="F334" s="3" t="s">
        <v>102</v>
      </c>
      <c r="M334" s="16">
        <v>25</v>
      </c>
      <c r="N334" s="16">
        <v>-9</v>
      </c>
      <c r="O334" t="s">
        <v>77</v>
      </c>
      <c r="P334" t="s">
        <v>78</v>
      </c>
      <c r="Q334">
        <f>COS($F$375)*COS(P336)*COS(O336+$B$375)-SIN($F$375)*SIN(P336)</f>
        <v>-0.9132942896943032</v>
      </c>
      <c r="R334">
        <f>R333-360*INT(R333/360)</f>
        <v>201.47488373246162</v>
      </c>
      <c r="U334">
        <f>COS(S333)*COS($D$383)*COS($D$367)+SIN(S333)*SIN($D$383)</f>
        <v>-0.7603346933208002</v>
      </c>
      <c r="V334">
        <f>COS($D$383)*COS($D$367)*(TAN($D$367)*COS(S336)-SIN(S333)*SIN(S336))+COS(S333)*SIN(S336)*SIN($D$383)</f>
        <v>0.3248834929595472</v>
      </c>
    </row>
    <row r="335" spans="1:24" ht="12.75">
      <c r="A335" s="9">
        <f>($C$370+E333+F333/60)-INT(($C$370+E333+F333/60)/360)*360</f>
        <v>65.42890156176514</v>
      </c>
      <c r="B335" s="22">
        <f>TRUNC(A335)</f>
        <v>65</v>
      </c>
      <c r="C335" s="23">
        <f>(A335-B335)*60</f>
        <v>25.734093705908663</v>
      </c>
      <c r="D335" s="38" t="str">
        <f>IF(X333&gt;=0,"N","S")</f>
        <v>S</v>
      </c>
      <c r="E335" s="22">
        <f>ABS(TRUNC(X333))</f>
        <v>11</v>
      </c>
      <c r="F335" s="23">
        <f>ABS(X333-TRUNC(X333))*60</f>
        <v>13.988617780773396</v>
      </c>
      <c r="M335" s="17">
        <v>11.579</v>
      </c>
      <c r="N335" s="17">
        <v>-40.76</v>
      </c>
      <c r="O335" s="14">
        <f>M336+O333/3600*$A$361</f>
        <v>201.2980878898964</v>
      </c>
      <c r="P335" s="14">
        <f>N336+P333/3600*$A$361</f>
        <v>-11.161440140934083</v>
      </c>
      <c r="Q335" s="14">
        <f>SIN($F$375)*COS(P336)*COS(O336+$B$375)+COS($F$375)*SIN(P336)</f>
        <v>-0.19476157259943003</v>
      </c>
      <c r="R335" s="14" t="s">
        <v>106</v>
      </c>
      <c r="S335" s="8" t="s">
        <v>86</v>
      </c>
      <c r="T335" s="8" t="s">
        <v>89</v>
      </c>
      <c r="U335" s="8" t="s">
        <v>88</v>
      </c>
      <c r="V335" s="8" t="s">
        <v>89</v>
      </c>
      <c r="W335" s="8" t="s">
        <v>97</v>
      </c>
      <c r="X335" s="8"/>
    </row>
    <row r="336" spans="1:23" ht="12.75">
      <c r="A336" s="3"/>
      <c r="B336" s="3"/>
      <c r="C336" s="3"/>
      <c r="D336" s="3"/>
      <c r="E336" s="3"/>
      <c r="F336" s="3"/>
      <c r="M336" s="13">
        <f>(M333+M334/60+M335/3600)*15</f>
        <v>201.29824583333334</v>
      </c>
      <c r="N336" s="13">
        <f>N333+N334/60+N335/3600</f>
        <v>-11.161322222222223</v>
      </c>
      <c r="O336">
        <f>RADIANS(O335)</f>
        <v>3.513314411647617</v>
      </c>
      <c r="P336">
        <f>RADIANS(P335)</f>
        <v>-0.19480387972355967</v>
      </c>
      <c r="R336">
        <f>DEGREES(ASIN(Q335))</f>
        <v>-11.230795667577635</v>
      </c>
      <c r="S336">
        <f>RADIANS(R336)</f>
        <v>-0.1960143620179443</v>
      </c>
      <c r="T336">
        <f>SIN($D$367)*COS(S333)*$A$364+SIN(S333)*$A$367</f>
        <v>-8.86773504664991E-06</v>
      </c>
      <c r="U336" s="15">
        <f>($A$388*U333-U334)*$V$12/COS(S336)</f>
        <v>7.675164299765477E-05</v>
      </c>
      <c r="V336" s="15">
        <f>($A$388*V333-V334)*$V$12</f>
        <v>-3.2111934343931094E-05</v>
      </c>
      <c r="W336">
        <f>360-W333</f>
        <v>158.5173418284358</v>
      </c>
    </row>
    <row r="337" spans="1:24" ht="12.75">
      <c r="A337" s="3" t="s">
        <v>107</v>
      </c>
      <c r="B337" s="3" t="s">
        <v>107</v>
      </c>
      <c r="C337" s="3" t="s">
        <v>107</v>
      </c>
      <c r="D337" s="3" t="s">
        <v>107</v>
      </c>
      <c r="E337" s="3" t="s">
        <v>107</v>
      </c>
      <c r="F337" s="3" t="s">
        <v>107</v>
      </c>
      <c r="M337" s="3" t="s">
        <v>107</v>
      </c>
      <c r="N337" s="3" t="s">
        <v>6</v>
      </c>
      <c r="O337" s="3" t="s">
        <v>107</v>
      </c>
      <c r="P337" s="3" t="s">
        <v>107</v>
      </c>
      <c r="Q337" s="3" t="s">
        <v>107</v>
      </c>
      <c r="R337" s="3" t="s">
        <v>107</v>
      </c>
      <c r="S337" s="3" t="s">
        <v>107</v>
      </c>
      <c r="T337" s="3" t="s">
        <v>6</v>
      </c>
      <c r="U337" s="3" t="s">
        <v>107</v>
      </c>
      <c r="V337" s="3" t="s">
        <v>107</v>
      </c>
      <c r="W337" s="3" t="s">
        <v>107</v>
      </c>
      <c r="X337" s="3" t="s">
        <v>107</v>
      </c>
    </row>
    <row r="338" spans="1:24" ht="12.75">
      <c r="A338" s="3"/>
      <c r="B338" s="3"/>
      <c r="C338" s="3"/>
      <c r="D338" s="3"/>
      <c r="E338" s="3"/>
      <c r="F338" s="3"/>
      <c r="M338" s="16" t="s">
        <v>71</v>
      </c>
      <c r="N338" s="16" t="s">
        <v>106</v>
      </c>
      <c r="O338" s="16" t="s">
        <v>73</v>
      </c>
      <c r="P338" s="16" t="s">
        <v>74</v>
      </c>
      <c r="Q338" t="s">
        <v>81</v>
      </c>
      <c r="R338" t="s">
        <v>71</v>
      </c>
      <c r="S338" t="s">
        <v>85</v>
      </c>
      <c r="T338" t="s">
        <v>88</v>
      </c>
      <c r="U338" t="s">
        <v>92</v>
      </c>
      <c r="V338" t="s">
        <v>93</v>
      </c>
      <c r="W338" t="s">
        <v>71</v>
      </c>
      <c r="X338" t="s">
        <v>106</v>
      </c>
    </row>
    <row r="339" spans="1:24" ht="12.75">
      <c r="A339" s="30" t="s">
        <v>6</v>
      </c>
      <c r="B339" s="33">
        <v>23</v>
      </c>
      <c r="C339" s="34">
        <v>2.2</v>
      </c>
      <c r="D339" s="6" t="s">
        <v>132</v>
      </c>
      <c r="E339" s="36">
        <f>TRUNC(W342)</f>
        <v>222</v>
      </c>
      <c r="F339" s="37">
        <f>ABS(W342-E339)*60</f>
        <v>52.56046981136876</v>
      </c>
      <c r="M339" s="16">
        <v>9</v>
      </c>
      <c r="N339" s="16">
        <v>-43</v>
      </c>
      <c r="O339" s="16">
        <v>-0.02321</v>
      </c>
      <c r="P339" s="16">
        <v>0.01428</v>
      </c>
      <c r="Q339">
        <f>COS(P342)*SIN(O342+$B$375)</f>
        <v>0.4944716675558777</v>
      </c>
      <c r="R339">
        <f>DEGREES(ATAN2(Q340,Q339))+$C$375</f>
        <v>137.12224582921226</v>
      </c>
      <c r="S339">
        <f>RADIANS(R340)</f>
        <v>2.3932346674488163</v>
      </c>
      <c r="T339">
        <f>(COS($D$367)+SIN($D$367)*SIN(S339)*TAN(S342))*$A$364-COS(S339)*TAN(S342)*$A$367</f>
        <v>5.946435741359972E-05</v>
      </c>
      <c r="U339">
        <f>COS(S339)*COS($D$388)*COS($D$367)+SIN(S339)*SIN($D$388)</f>
        <v>0.8157073580362939</v>
      </c>
      <c r="V339">
        <f>COS($D$388)*COS($D$367)*(TAN($D$367)*COS(S342)-SIN(S339)*SIN(S342))+COS(S339)*SIN(S342)*SIN($D$388)</f>
        <v>0.3274487300126925</v>
      </c>
      <c r="W339">
        <f>DEGREES(U342+T339+S339)</f>
        <v>137.12399216981052</v>
      </c>
      <c r="X339">
        <f>DEGREES(V342+T342+S342)</f>
        <v>-43.49382057160353</v>
      </c>
    </row>
    <row r="340" spans="1:22" ht="12.75">
      <c r="A340" s="3" t="s">
        <v>104</v>
      </c>
      <c r="B340" s="3" t="s">
        <v>105</v>
      </c>
      <c r="C340" s="3" t="s">
        <v>102</v>
      </c>
      <c r="D340" s="3" t="s">
        <v>106</v>
      </c>
      <c r="E340" s="3" t="s">
        <v>105</v>
      </c>
      <c r="F340" s="3" t="s">
        <v>102</v>
      </c>
      <c r="M340" s="16">
        <v>7</v>
      </c>
      <c r="N340" s="16">
        <v>-25</v>
      </c>
      <c r="O340" t="s">
        <v>77</v>
      </c>
      <c r="P340" t="s">
        <v>78</v>
      </c>
      <c r="Q340">
        <f>COS($F$375)*COS(P342)*COS(O342+$B$375)-SIN($F$375)*SIN(P342)</f>
        <v>-0.5309342831235533</v>
      </c>
      <c r="R340">
        <f>R339-360*INT(R339/360)</f>
        <v>137.12224582921226</v>
      </c>
      <c r="U340">
        <f>COS(S339)*COS($D$383)*COS($D$367)+SIN(S339)*SIN($D$383)</f>
        <v>0.22526303207579162</v>
      </c>
      <c r="V340">
        <f>COS($D$383)*COS($D$367)*(TAN($D$367)*COS(S342)-SIN(S339)*SIN(S342))+COS(S339)*SIN(S342)*SIN($D$383)</f>
        <v>0.8065988912565671</v>
      </c>
    </row>
    <row r="341" spans="1:24" ht="12.75">
      <c r="A341" s="9">
        <f>($C$370+E339+F339/60)-INT(($C$370+E339+F339/60)/360)*360</f>
        <v>129.7875675635188</v>
      </c>
      <c r="B341" s="22">
        <f>TRUNC(A341)</f>
        <v>129</v>
      </c>
      <c r="C341" s="23">
        <f>(A341-B341)*60</f>
        <v>47.254053811127505</v>
      </c>
      <c r="D341" s="38" t="str">
        <f>IF(X339&gt;=0,"N","S")</f>
        <v>S</v>
      </c>
      <c r="E341" s="22">
        <f>ABS(TRUNC(X339))</f>
        <v>43</v>
      </c>
      <c r="F341" s="23">
        <f>ABS(X339-TRUNC(X339))*60</f>
        <v>29.629234296211706</v>
      </c>
      <c r="M341" s="17">
        <v>59.759</v>
      </c>
      <c r="N341" s="17">
        <v>-57.32</v>
      </c>
      <c r="O341" s="14">
        <f>M342+O339/3600*$A$361</f>
        <v>136.9989095776352</v>
      </c>
      <c r="P341" s="14">
        <f>N342+P339/3600*$A$361</f>
        <v>-43.43253581989408</v>
      </c>
      <c r="Q341" s="14">
        <f>SIN($F$375)*COS(P342)*COS(O342+$B$375)+COS($F$375)*SIN(P342)</f>
        <v>-0.688190785312175</v>
      </c>
      <c r="R341" s="14" t="s">
        <v>106</v>
      </c>
      <c r="S341" s="8" t="s">
        <v>86</v>
      </c>
      <c r="T341" s="8" t="s">
        <v>89</v>
      </c>
      <c r="U341" s="8" t="s">
        <v>88</v>
      </c>
      <c r="V341" s="8" t="s">
        <v>89</v>
      </c>
      <c r="W341" s="8" t="s">
        <v>97</v>
      </c>
      <c r="X341" s="8"/>
    </row>
    <row r="342" spans="1:23" ht="12.75">
      <c r="A342" s="3"/>
      <c r="B342" s="3"/>
      <c r="C342" s="3"/>
      <c r="D342" s="3"/>
      <c r="E342" s="3"/>
      <c r="F342" s="3"/>
      <c r="M342" s="13">
        <f>(M339+M340/60+M341/3600)*15</f>
        <v>136.99899583333334</v>
      </c>
      <c r="N342" s="13">
        <f>N339+N340/60+N341/3600</f>
        <v>-43.43258888888889</v>
      </c>
      <c r="O342">
        <f>RADIANS(O341)</f>
        <v>2.3910820437717284</v>
      </c>
      <c r="P342">
        <f>RADIANS(P341)</f>
        <v>-0.7580407525475266</v>
      </c>
      <c r="R342">
        <f>DEGREES(ASIN(Q341))</f>
        <v>-43.48706393165109</v>
      </c>
      <c r="S342">
        <f>RADIANS(R342)</f>
        <v>-0.7589924476325819</v>
      </c>
      <c r="T342">
        <f>SIN($D$367)*COS(S339)*$A$364+SIN(S339)*$A$367</f>
        <v>-3.832131144727215E-05</v>
      </c>
      <c r="U342" s="15">
        <f>($A$388*U339-U340)*$V$12/COS(S342)</f>
        <v>-2.8984964112847817E-05</v>
      </c>
      <c r="V342" s="15">
        <f>($A$388*V339-V340)*$V$12</f>
        <v>-7.960430209447017E-05</v>
      </c>
      <c r="W342">
        <f>360-W339</f>
        <v>222.87600783018948</v>
      </c>
    </row>
    <row r="343" spans="1:24" ht="12.75">
      <c r="A343" s="3" t="s">
        <v>107</v>
      </c>
      <c r="B343" s="3" t="s">
        <v>107</v>
      </c>
      <c r="C343" s="3" t="s">
        <v>107</v>
      </c>
      <c r="D343" s="3" t="s">
        <v>107</v>
      </c>
      <c r="E343" s="3" t="s">
        <v>107</v>
      </c>
      <c r="F343" s="3" t="s">
        <v>107</v>
      </c>
      <c r="M343" s="3" t="s">
        <v>107</v>
      </c>
      <c r="N343" s="3" t="s">
        <v>7</v>
      </c>
      <c r="O343" s="3" t="s">
        <v>107</v>
      </c>
      <c r="P343" s="3" t="s">
        <v>107</v>
      </c>
      <c r="Q343" s="3" t="s">
        <v>107</v>
      </c>
      <c r="R343" s="3" t="s">
        <v>107</v>
      </c>
      <c r="S343" s="3" t="s">
        <v>107</v>
      </c>
      <c r="T343" s="3" t="s">
        <v>7</v>
      </c>
      <c r="U343" s="3" t="s">
        <v>107</v>
      </c>
      <c r="V343" s="3" t="s">
        <v>107</v>
      </c>
      <c r="W343" s="3" t="s">
        <v>107</v>
      </c>
      <c r="X343" s="3" t="s">
        <v>107</v>
      </c>
    </row>
    <row r="344" spans="1:24" ht="12.75">
      <c r="A344" s="3"/>
      <c r="B344" s="3"/>
      <c r="C344" s="3"/>
      <c r="D344" s="3"/>
      <c r="E344" s="3"/>
      <c r="F344" s="3"/>
      <c r="M344" s="16" t="s">
        <v>71</v>
      </c>
      <c r="N344" s="16" t="s">
        <v>106</v>
      </c>
      <c r="O344" s="16" t="s">
        <v>73</v>
      </c>
      <c r="P344" s="16" t="s">
        <v>74</v>
      </c>
      <c r="Q344" t="s">
        <v>81</v>
      </c>
      <c r="R344" t="s">
        <v>71</v>
      </c>
      <c r="S344" t="s">
        <v>85</v>
      </c>
      <c r="T344" t="s">
        <v>88</v>
      </c>
      <c r="U344" t="s">
        <v>92</v>
      </c>
      <c r="V344" t="s">
        <v>93</v>
      </c>
      <c r="W344" t="s">
        <v>71</v>
      </c>
      <c r="X344" t="s">
        <v>106</v>
      </c>
    </row>
    <row r="345" spans="1:24" ht="12.75">
      <c r="A345" s="30" t="s">
        <v>7</v>
      </c>
      <c r="B345" s="33">
        <v>49</v>
      </c>
      <c r="C345" s="34">
        <v>0</v>
      </c>
      <c r="D345" s="6" t="s">
        <v>132</v>
      </c>
      <c r="E345" s="36">
        <f>TRUNC(W348)</f>
        <v>80</v>
      </c>
      <c r="F345" s="37">
        <f>ABS(W348-E345)*60</f>
        <v>38.67432813653636</v>
      </c>
      <c r="M345" s="16">
        <v>18</v>
      </c>
      <c r="N345" s="16">
        <v>38</v>
      </c>
      <c r="O345" s="16">
        <v>0.20103</v>
      </c>
      <c r="P345" s="16">
        <v>0.28747</v>
      </c>
      <c r="Q345">
        <f>COS(P348)*SIN(O348+$B$375)</f>
        <v>-0.7692119396610222</v>
      </c>
      <c r="R345">
        <f>DEGREES(ATAN2(Q346,Q345))+$C$375</f>
        <v>-80.65218163795184</v>
      </c>
      <c r="S345">
        <f>RADIANS(R346)</f>
        <v>4.875539188680813</v>
      </c>
      <c r="T345">
        <f>(COS($D$367)+SIN($D$367)*SIN(S345)*TAN(S348))*$A$364-COS(S345)*TAN(S348)*$A$367</f>
        <v>3.791220952377774E-05</v>
      </c>
      <c r="U345">
        <f>COS(S345)*COS($D$388)*COS($D$367)+SIN(S345)*SIN($D$388)</f>
        <v>-0.9947264815235042</v>
      </c>
      <c r="V345">
        <f>COS($D$388)*COS($D$367)*(TAN($D$367)*COS(S348)-SIN(S345)*SIN(S348))+COS(S345)*SIN(S348)*SIN($D$388)</f>
        <v>-0.10073115733552804</v>
      </c>
      <c r="W345">
        <f>DEGREES(U348+T345+S345)</f>
        <v>279.35542786439106</v>
      </c>
      <c r="X345">
        <f>DEGREES(V348+T348+S348)</f>
        <v>38.79569393831826</v>
      </c>
    </row>
    <row r="346" spans="1:22" ht="12.75">
      <c r="A346" s="3" t="s">
        <v>104</v>
      </c>
      <c r="B346" s="3" t="s">
        <v>105</v>
      </c>
      <c r="C346" s="3" t="s">
        <v>102</v>
      </c>
      <c r="D346" s="3" t="s">
        <v>106</v>
      </c>
      <c r="E346" s="3" t="s">
        <v>105</v>
      </c>
      <c r="F346" s="3" t="s">
        <v>102</v>
      </c>
      <c r="M346" s="16">
        <v>36</v>
      </c>
      <c r="N346" s="16">
        <v>47</v>
      </c>
      <c r="O346" t="s">
        <v>77</v>
      </c>
      <c r="P346" t="s">
        <v>78</v>
      </c>
      <c r="Q346">
        <f>COS($F$375)*COS(P348)*COS(O348+$B$375)-SIN($F$375)*SIN(P348)</f>
        <v>0.1254409699637641</v>
      </c>
      <c r="R346">
        <f>R345-360*INT(R345/360)</f>
        <v>279.34781836204814</v>
      </c>
      <c r="U346">
        <f>COS(S345)*COS($D$383)*COS($D$367)+SIN(S345)*SIN($D$383)</f>
        <v>-0.7609554985363706</v>
      </c>
      <c r="V346">
        <f>COS($D$383)*COS($D$367)*(TAN($D$367)*COS(S348)-SIN(S345)*SIN(S348))+COS(S345)*SIN(S348)*SIN($D$383)</f>
        <v>0.5478023745335909</v>
      </c>
    </row>
    <row r="347" spans="1:24" ht="12.75">
      <c r="A347" s="9">
        <f>($C$370+E345+F345/60)-INT(($C$370+E345+F345/60)/360)*360</f>
        <v>347.5561318689383</v>
      </c>
      <c r="B347" s="22">
        <f>TRUNC(A347)</f>
        <v>347</v>
      </c>
      <c r="C347" s="23">
        <f>(A347-B347)*60</f>
        <v>33.36791213629681</v>
      </c>
      <c r="D347" s="38" t="str">
        <f>IF(X345&gt;=0,"N","S")</f>
        <v>N</v>
      </c>
      <c r="E347" s="22">
        <f>ABS(TRUNC(X345))</f>
        <v>38</v>
      </c>
      <c r="F347" s="23">
        <f>ABS(X345-TRUNC(X345))*60</f>
        <v>47.74163629909552</v>
      </c>
      <c r="M347" s="17">
        <v>56.336</v>
      </c>
      <c r="N347" s="17">
        <v>1.29</v>
      </c>
      <c r="O347" s="14">
        <f>M348+O345/3600*$A$361</f>
        <v>279.2354804243717</v>
      </c>
      <c r="P347" s="14">
        <f>N348+P345/3600*$A$361</f>
        <v>38.7847599960741</v>
      </c>
      <c r="Q347" s="14">
        <f>SIN($F$375)*COS(P348)*COS(O348+$B$375)+COS($F$375)*SIN(P348)</f>
        <v>0.6265600968282915</v>
      </c>
      <c r="R347" s="14" t="s">
        <v>106</v>
      </c>
      <c r="S347" s="8" t="s">
        <v>86</v>
      </c>
      <c r="T347" s="8" t="s">
        <v>89</v>
      </c>
      <c r="U347" s="8" t="s">
        <v>88</v>
      </c>
      <c r="V347" s="8" t="s">
        <v>89</v>
      </c>
      <c r="W347" s="8" t="s">
        <v>97</v>
      </c>
      <c r="X347" s="8"/>
    </row>
    <row r="348" spans="1:23" ht="12.75">
      <c r="A348" s="3"/>
      <c r="B348" s="3"/>
      <c r="C348" s="3"/>
      <c r="D348" s="3"/>
      <c r="E348" s="3"/>
      <c r="F348" s="3"/>
      <c r="M348" s="13">
        <f>(M345+M346/60+M347/3600)*15</f>
        <v>279.2347333333334</v>
      </c>
      <c r="N348" s="13">
        <f>N345+N346/60+N347/3600</f>
        <v>38.78369166666666</v>
      </c>
      <c r="O348">
        <f>RADIANS(O347)</f>
        <v>4.873578521793459</v>
      </c>
      <c r="P348">
        <f>RADIANS(P347)</f>
        <v>0.676921761527276</v>
      </c>
      <c r="R348">
        <f>DEGREES(ASIN(Q347))</f>
        <v>38.79678624414108</v>
      </c>
      <c r="S348">
        <f>RADIANS(R348)</f>
        <v>0.6771316591527065</v>
      </c>
      <c r="T348">
        <f>SIN($D$367)*COS(S345)*$A$364+SIN(S345)*$A$367</f>
        <v>3.5535279524604416E-05</v>
      </c>
      <c r="U348" s="15">
        <f>($A$388*U345-U346)*$V$12/COS(S348)</f>
        <v>9.489866079791645E-05</v>
      </c>
      <c r="V348" s="15">
        <f>($A$388*V345-V346)*$V$12</f>
        <v>-5.459961257157132E-05</v>
      </c>
      <c r="W348">
        <f>360-W345</f>
        <v>80.64457213560894</v>
      </c>
    </row>
    <row r="349" spans="1:24" ht="12.75">
      <c r="A349" s="3" t="s">
        <v>107</v>
      </c>
      <c r="B349" s="3" t="s">
        <v>107</v>
      </c>
      <c r="C349" s="3" t="s">
        <v>107</v>
      </c>
      <c r="D349" s="3" t="s">
        <v>107</v>
      </c>
      <c r="E349" s="3" t="s">
        <v>107</v>
      </c>
      <c r="F349" s="3" t="s">
        <v>107</v>
      </c>
      <c r="M349" s="3" t="s">
        <v>107</v>
      </c>
      <c r="N349" s="3" t="s">
        <v>8</v>
      </c>
      <c r="O349" s="3" t="s">
        <v>107</v>
      </c>
      <c r="P349" s="3" t="s">
        <v>107</v>
      </c>
      <c r="Q349" s="3" t="s">
        <v>107</v>
      </c>
      <c r="R349" s="3" t="s">
        <v>107</v>
      </c>
      <c r="S349" s="3" t="s">
        <v>107</v>
      </c>
      <c r="T349" s="3" t="s">
        <v>8</v>
      </c>
      <c r="U349" s="3" t="s">
        <v>107</v>
      </c>
      <c r="V349" s="3" t="s">
        <v>107</v>
      </c>
      <c r="W349" s="3" t="s">
        <v>107</v>
      </c>
      <c r="X349" s="3" t="s">
        <v>107</v>
      </c>
    </row>
    <row r="350" spans="1:24" ht="12.75">
      <c r="A350" s="3"/>
      <c r="B350" s="3"/>
      <c r="C350" s="3"/>
      <c r="D350" s="3"/>
      <c r="E350" s="3"/>
      <c r="F350" s="3"/>
      <c r="M350" s="16" t="s">
        <v>71</v>
      </c>
      <c r="N350" s="16" t="s">
        <v>106</v>
      </c>
      <c r="O350" s="16" t="s">
        <v>73</v>
      </c>
      <c r="P350" s="16" t="s">
        <v>74</v>
      </c>
      <c r="Q350" t="s">
        <v>81</v>
      </c>
      <c r="R350" t="s">
        <v>71</v>
      </c>
      <c r="S350" t="s">
        <v>85</v>
      </c>
      <c r="T350" t="s">
        <v>88</v>
      </c>
      <c r="U350" t="s">
        <v>92</v>
      </c>
      <c r="V350" t="s">
        <v>93</v>
      </c>
      <c r="W350" t="s">
        <v>71</v>
      </c>
      <c r="X350" t="s">
        <v>106</v>
      </c>
    </row>
    <row r="351" spans="1:24" ht="12.75">
      <c r="A351" s="30" t="s">
        <v>8</v>
      </c>
      <c r="B351" s="33">
        <v>39</v>
      </c>
      <c r="C351" s="34">
        <v>2.8</v>
      </c>
      <c r="D351" s="6" t="s">
        <v>132</v>
      </c>
      <c r="E351" s="36">
        <f>TRUNC(W354)</f>
        <v>137</v>
      </c>
      <c r="F351" s="37">
        <f>ABS(W354-E351)*60</f>
        <v>5.320145627737816</v>
      </c>
      <c r="M351" s="16">
        <v>14</v>
      </c>
      <c r="N351" s="16">
        <v>-16</v>
      </c>
      <c r="O351" s="16">
        <v>-0.106</v>
      </c>
      <c r="P351" s="16">
        <v>0.067</v>
      </c>
      <c r="Q351">
        <f>COS(P354)*SIN(O354+$B$375)</f>
        <v>-0.6530097258870025</v>
      </c>
      <c r="R351">
        <f>DEGREES(ATAN2(Q352,Q351))+$C$375</f>
        <v>-137.09772776072467</v>
      </c>
      <c r="S351">
        <f>RADIANS(R352)</f>
        <v>3.8903785607521084</v>
      </c>
      <c r="T351">
        <f>(COS($D$367)+SIN($D$367)*SIN(S351)*TAN(S354))*$A$364-COS(S351)*TAN(S354)*$A$367</f>
        <v>6.255234172797199E-05</v>
      </c>
      <c r="U351">
        <f>COS(S351)*COS($D$388)*COS($D$367)+SIN(S351)*SIN($D$388)</f>
        <v>-0.5097524328617832</v>
      </c>
      <c r="V351">
        <f>COS($D$388)*COS($D$367)*(TAN($D$367)*COS(S354)-SIN(S351)*SIN(S354))+COS(S351)*SIN(S354)*SIN($D$388)</f>
        <v>0.15014890352973664</v>
      </c>
      <c r="W351">
        <f>DEGREES(U354+T351+S351)</f>
        <v>222.91133090620437</v>
      </c>
      <c r="X351">
        <f>DEGREES(V354+T354+S354)</f>
        <v>-16.097327941396472</v>
      </c>
    </row>
    <row r="352" spans="1:22" ht="12.75">
      <c r="A352" s="3" t="s">
        <v>104</v>
      </c>
      <c r="B352" s="3" t="s">
        <v>105</v>
      </c>
      <c r="C352" s="3" t="s">
        <v>102</v>
      </c>
      <c r="D352" s="3" t="s">
        <v>106</v>
      </c>
      <c r="E352" s="3" t="s">
        <v>105</v>
      </c>
      <c r="F352" s="3" t="s">
        <v>102</v>
      </c>
      <c r="M352" s="16">
        <v>50</v>
      </c>
      <c r="N352" s="16">
        <v>-2</v>
      </c>
      <c r="O352" t="s">
        <v>77</v>
      </c>
      <c r="P352" t="s">
        <v>78</v>
      </c>
      <c r="Q352">
        <f>COS($F$375)*COS(P354)*COS(O354+$B$375)-SIN($F$375)*SIN(P354)</f>
        <v>-0.704777633241771</v>
      </c>
      <c r="R352">
        <f>R351-360*INT(R351/360)</f>
        <v>222.90227223927533</v>
      </c>
      <c r="U352">
        <f>COS(S351)*COS($D$383)*COS($D$367)+SIN(S351)*SIN($D$383)</f>
        <v>-0.9324349470553375</v>
      </c>
      <c r="V352">
        <f>COS($D$383)*COS($D$367)*(TAN($D$367)*COS(S354)-SIN(S351)*SIN(S354))+COS(S351)*SIN(S354)*SIN($D$383)</f>
        <v>0.28262055861571855</v>
      </c>
    </row>
    <row r="353" spans="1:24" ht="12.75">
      <c r="A353" s="9">
        <f>($C$370+E351+F351/60)-INT(($C$370+E351+F351/60)/360)*360</f>
        <v>44.00022882712494</v>
      </c>
      <c r="B353" s="22">
        <f>TRUNC(A353)</f>
        <v>44</v>
      </c>
      <c r="C353" s="23">
        <f>(A353-B353)*60</f>
        <v>0.01372962749655926</v>
      </c>
      <c r="D353" s="38" t="str">
        <f>IF(X351&gt;=0,"N","S")</f>
        <v>S</v>
      </c>
      <c r="E353" s="22">
        <f>ABS(TRUNC(X351))</f>
        <v>16</v>
      </c>
      <c r="F353" s="23">
        <f>ABS(X351-TRUNC(X351))*60</f>
        <v>5.83967648378831</v>
      </c>
      <c r="M353" s="17">
        <v>52</v>
      </c>
      <c r="N353" s="17">
        <v>-30</v>
      </c>
      <c r="O353" s="14">
        <f>M354+O351/3600*$A$361</f>
        <v>222.7162727371534</v>
      </c>
      <c r="P353" s="14">
        <f>N354+P351/3600*$A$361</f>
        <v>-16.041417673483732</v>
      </c>
      <c r="Q353" s="14">
        <f>SIN($F$375)*COS(P354)*COS(O354+$B$375)+COS($F$375)*SIN(P354)</f>
        <v>-0.27724859887672954</v>
      </c>
      <c r="R353" s="14" t="s">
        <v>106</v>
      </c>
      <c r="S353" s="8" t="s">
        <v>86</v>
      </c>
      <c r="T353" s="8" t="s">
        <v>89</v>
      </c>
      <c r="U353" s="8" t="s">
        <v>88</v>
      </c>
      <c r="V353" s="8" t="s">
        <v>89</v>
      </c>
      <c r="W353" s="8" t="s">
        <v>97</v>
      </c>
      <c r="X353" s="8"/>
    </row>
    <row r="354" spans="1:23" ht="12.75">
      <c r="A354" s="3"/>
      <c r="B354" s="3"/>
      <c r="C354" s="3"/>
      <c r="D354" s="3"/>
      <c r="E354" s="3"/>
      <c r="F354" s="3"/>
      <c r="M354" s="13">
        <f>(M351+M352/60+M353/3600)*15</f>
        <v>222.7166666666667</v>
      </c>
      <c r="N354" s="13">
        <f>N351+N352/60+N353/3600</f>
        <v>-16.041666666666668</v>
      </c>
      <c r="O354">
        <f>RADIANS(O353)</f>
        <v>3.8871322570330102</v>
      </c>
      <c r="P354">
        <f>RADIANS(P353)</f>
        <v>-0.2799755550898998</v>
      </c>
      <c r="R354">
        <f>DEGREES(ASIN(Q353))</f>
        <v>-16.09606090302428</v>
      </c>
      <c r="S354">
        <f>RADIANS(R354)</f>
        <v>-0.2809292593593054</v>
      </c>
      <c r="T354">
        <f>SIN($D$367)*COS(S351)*$A$364+SIN(S351)*$A$367</f>
        <v>5.719422976886911E-06</v>
      </c>
      <c r="U354" s="15">
        <f>($A$388*U351-U352)*$V$12/COS(S354)</f>
        <v>9.555122202522379E-05</v>
      </c>
      <c r="V354" s="15">
        <f>($A$388*V351-V352)*$V$12</f>
        <v>-2.7833414320736366E-05</v>
      </c>
      <c r="W354">
        <f>360-W351</f>
        <v>137.08866909379563</v>
      </c>
    </row>
    <row r="355" spans="1:6" ht="12.75">
      <c r="A355" s="3" t="s">
        <v>107</v>
      </c>
      <c r="B355" s="3" t="s">
        <v>107</v>
      </c>
      <c r="C355" s="3" t="s">
        <v>107</v>
      </c>
      <c r="D355" s="3" t="s">
        <v>107</v>
      </c>
      <c r="E355" s="3" t="s">
        <v>107</v>
      </c>
      <c r="F355" s="3" t="s">
        <v>107</v>
      </c>
    </row>
    <row r="356" spans="1:6" ht="12.75">
      <c r="A356" s="3"/>
      <c r="B356" s="3"/>
      <c r="C356" s="3"/>
      <c r="D356" s="3"/>
      <c r="E356" s="3"/>
      <c r="F356" s="3"/>
    </row>
    <row r="357" spans="1:6" ht="12.75">
      <c r="A357" t="s">
        <v>108</v>
      </c>
      <c r="B357" t="s">
        <v>98</v>
      </c>
      <c r="C357" t="s">
        <v>99</v>
      </c>
      <c r="D357" t="s">
        <v>109</v>
      </c>
      <c r="E357" t="s">
        <v>110</v>
      </c>
      <c r="F357" s="4" t="s">
        <v>112</v>
      </c>
    </row>
    <row r="358" spans="1:6" ht="12.75">
      <c r="A358">
        <f>C2+(D2*3600+E2*60+F2)/86400</f>
        <v>19.083333333333332</v>
      </c>
      <c r="B358">
        <f>IF(B2&gt;2.5,A2,A2-1)</f>
        <v>2013</v>
      </c>
      <c r="C358">
        <f>IF(B2&gt;2.5,B2,B2+12)</f>
        <v>5</v>
      </c>
      <c r="D358">
        <f>INT(B358/100)</f>
        <v>20</v>
      </c>
      <c r="E358">
        <f>2-D358+INT(D358/4)</f>
        <v>-13</v>
      </c>
      <c r="F358">
        <f>INT(365.25*(B358+4716))+INT(30.6001*(C358+1))+A358+E358-1524.5</f>
        <v>2456431.5833333335</v>
      </c>
    </row>
    <row r="360" spans="1:6" ht="12.75">
      <c r="A360" s="4" t="s">
        <v>45</v>
      </c>
      <c r="B360" s="4" t="s">
        <v>113</v>
      </c>
      <c r="C360" t="s">
        <v>114</v>
      </c>
      <c r="D360" s="4" t="s">
        <v>111</v>
      </c>
      <c r="E360" s="4" t="s">
        <v>115</v>
      </c>
      <c r="F360" s="4" t="s">
        <v>116</v>
      </c>
    </row>
    <row r="361" spans="1:6" ht="12.75">
      <c r="A361">
        <f>E361*1000</f>
        <v>13.37873818759515</v>
      </c>
      <c r="B361">
        <f>L7+L11+L15+L19+L23+L27+L31+L35+L39+L43+L47+L51+L55+L58</f>
        <v>68.228843453125</v>
      </c>
      <c r="C361">
        <f>C2+(D2*3600+E2*60+(F2+B361))/86400</f>
        <v>19.084123019021447</v>
      </c>
      <c r="D361">
        <f>INT(365.25*(B358+4716))+INT(30.6001*(C358+1))+C361+E358-1524.5</f>
        <v>2456431.584123019</v>
      </c>
      <c r="E361">
        <f>(D361-2451545)/365250</f>
        <v>0.01337873818759515</v>
      </c>
      <c r="F361">
        <f>10*E361</f>
        <v>0.13378738187595152</v>
      </c>
    </row>
    <row r="363" spans="1:6" ht="12.75">
      <c r="A363" s="4" t="s">
        <v>122</v>
      </c>
      <c r="B363" t="s">
        <v>117</v>
      </c>
      <c r="C363" t="s">
        <v>118</v>
      </c>
      <c r="D363" t="s">
        <v>119</v>
      </c>
      <c r="E363" t="s">
        <v>120</v>
      </c>
      <c r="F363" s="4" t="s">
        <v>121</v>
      </c>
    </row>
    <row r="364" spans="1:6" ht="12.75">
      <c r="A364">
        <f>RADIANS(F364)</f>
        <v>5.595867911601109E-05</v>
      </c>
      <c r="B364">
        <f>RADIANS(280.4665+36000.7698*F361)</f>
        <v>88.95795258177867</v>
      </c>
      <c r="C364">
        <f>RADIANS(218.3165+481267.8813*F361)</f>
        <v>1127.5854324551387</v>
      </c>
      <c r="D364">
        <f>RADIANS(125.04452-1934.136261*F361)</f>
        <v>-2.3338282101563896</v>
      </c>
      <c r="E364">
        <f>-17.2*SIN(D364)-1.32*SIN(2*B364)-0.23*SIN(2*C364)+0.21*SIN(2*D364)</f>
        <v>11.542306105707464</v>
      </c>
      <c r="F364">
        <f>E364/3600</f>
        <v>0.0032061961404742955</v>
      </c>
    </row>
    <row r="366" spans="1:6" ht="12.75">
      <c r="A366" s="4" t="s">
        <v>90</v>
      </c>
      <c r="B366" t="s">
        <v>127</v>
      </c>
      <c r="C366" t="s">
        <v>125</v>
      </c>
      <c r="D366" s="4" t="s">
        <v>126</v>
      </c>
      <c r="E366" t="s">
        <v>123</v>
      </c>
      <c r="F366" s="4" t="s">
        <v>124</v>
      </c>
    </row>
    <row r="367" spans="1:6" ht="12.75">
      <c r="A367">
        <f>RADIANS(F367)</f>
        <v>-3.2349908341101586E-05</v>
      </c>
      <c r="B367">
        <f>F361*(-46.815+F361*(-0.00059+0.001813*F361))</f>
        <v>-6.2632625014355385</v>
      </c>
      <c r="C367">
        <f>RADIANS(23.4392911+B367/3600)</f>
        <v>0.40906243887491267</v>
      </c>
      <c r="D367">
        <f>C367+A367</f>
        <v>0.40903008896657156</v>
      </c>
      <c r="E367">
        <f>9.2*COS(D364)+0.57*COS(2*B364)-0.1*COS(2*C364)-0.09*COS(2*D364)</f>
        <v>-6.672647576088645</v>
      </c>
      <c r="F367">
        <f>E367/3600</f>
        <v>-0.0018535132155801791</v>
      </c>
    </row>
    <row r="369" spans="1:3" ht="12.75">
      <c r="A369" t="s">
        <v>128</v>
      </c>
      <c r="B369" t="s">
        <v>129</v>
      </c>
      <c r="C369" s="4" t="s">
        <v>129</v>
      </c>
    </row>
    <row r="370" spans="1:3" ht="12.75">
      <c r="A370">
        <f>280.46061837+360.98564736629*(F358-2451545)+F361*F361*(0.000387933-F361/38710000)</f>
        <v>1764266.908618026</v>
      </c>
      <c r="B370">
        <f>A370+F364*COS(D367)</f>
        <v>1764266.9115597333</v>
      </c>
      <c r="C370">
        <f>B370-INT(B370/360)*360</f>
        <v>266.91155973332934</v>
      </c>
    </row>
    <row r="372" spans="1:6" ht="12.75">
      <c r="A372" t="s">
        <v>46</v>
      </c>
      <c r="B372" t="s">
        <v>47</v>
      </c>
      <c r="C372" t="s">
        <v>46</v>
      </c>
      <c r="D372" t="s">
        <v>46</v>
      </c>
      <c r="E372" t="s">
        <v>46</v>
      </c>
      <c r="F372" t="s">
        <v>46</v>
      </c>
    </row>
    <row r="374" spans="1:6" ht="12.75">
      <c r="A374" s="4" t="s">
        <v>48</v>
      </c>
      <c r="B374" s="4" t="s">
        <v>49</v>
      </c>
      <c r="C374" s="4" t="s">
        <v>50</v>
      </c>
      <c r="D374" s="4"/>
      <c r="E374" s="4" t="s">
        <v>51</v>
      </c>
      <c r="F374" s="4" t="s">
        <v>52</v>
      </c>
    </row>
    <row r="375" spans="1:6" ht="12.75">
      <c r="A375">
        <f>F361*(2306.2181+F361*(0.30188+F361*0.017998))/3600</f>
        <v>0.08570786891735711</v>
      </c>
      <c r="B375">
        <f>RADIANS(A375)</f>
        <v>0.0014958845074755894</v>
      </c>
      <c r="C375">
        <f>F361*(2306.2181+F361*(1.09468+F361*0.018203))/3600</f>
        <v>0.0857118108252707</v>
      </c>
      <c r="E375">
        <f>F361*(2004.3109-F361*(0.42665+F361*0.041833))/3600</f>
        <v>0.07448438082355188</v>
      </c>
      <c r="F375">
        <f>RADIANS(E375)</f>
        <v>0.001299997686680306</v>
      </c>
    </row>
    <row r="377" spans="1:6" ht="12.75">
      <c r="A377" t="s">
        <v>46</v>
      </c>
      <c r="B377" t="s">
        <v>53</v>
      </c>
      <c r="C377" t="s">
        <v>46</v>
      </c>
      <c r="D377" t="s">
        <v>46</v>
      </c>
      <c r="E377" t="s">
        <v>46</v>
      </c>
      <c r="F377" t="s">
        <v>46</v>
      </c>
    </row>
    <row r="379" spans="1:6" ht="12.75">
      <c r="A379" s="13" t="s">
        <v>54</v>
      </c>
      <c r="B379" s="13" t="s">
        <v>56</v>
      </c>
      <c r="C379" s="13" t="s">
        <v>55</v>
      </c>
      <c r="D379" s="13" t="s">
        <v>57</v>
      </c>
      <c r="E379" s="13" t="s">
        <v>58</v>
      </c>
      <c r="F379" s="13" t="s">
        <v>59</v>
      </c>
    </row>
    <row r="380" spans="1:6" ht="12.75">
      <c r="A380">
        <f>280.46646+F361*(36000.76983+F361*0.0003032)</f>
        <v>5096.91520650144</v>
      </c>
      <c r="B380">
        <f>357.52911+F361*(35999.05029-F361*0.0001537)</f>
        <v>5173.747795568727</v>
      </c>
      <c r="C380">
        <f>RADIANS(B380)</f>
        <v>90.29893370047279</v>
      </c>
      <c r="D380">
        <f>1.914602-F361*(0.004817+F361*0.000014)</f>
        <v>1.9139572955946138</v>
      </c>
      <c r="E380">
        <f>0.019993-F361*0.000101</f>
        <v>0.01997948747443053</v>
      </c>
      <c r="F380">
        <f>0.000289</f>
        <v>0.000289</v>
      </c>
    </row>
    <row r="382" spans="1:4" ht="12.75">
      <c r="A382" t="s">
        <v>60</v>
      </c>
      <c r="B382" t="s">
        <v>61</v>
      </c>
      <c r="C382" t="s">
        <v>62</v>
      </c>
      <c r="D382" s="4" t="s">
        <v>63</v>
      </c>
    </row>
    <row r="383" spans="1:4" ht="12.75">
      <c r="A383">
        <f>D380*SIN(C380)+E380*SIN(2*C380)+F380*SIN(3*C380)</f>
        <v>1.3628548179153903</v>
      </c>
      <c r="B383">
        <f>A380+A383</f>
        <v>5098.278061319355</v>
      </c>
      <c r="C383">
        <f>B383-360*INT(B383/360)</f>
        <v>58.2780613193554</v>
      </c>
      <c r="D383">
        <f>RADIANS(C383)</f>
        <v>1.0171440517019024</v>
      </c>
    </row>
    <row r="385" spans="1:6" ht="12.75">
      <c r="A385" t="s">
        <v>46</v>
      </c>
      <c r="B385" t="s">
        <v>64</v>
      </c>
      <c r="C385" t="s">
        <v>46</v>
      </c>
      <c r="D385" t="s">
        <v>46</v>
      </c>
      <c r="E385" t="s">
        <v>46</v>
      </c>
      <c r="F385" t="s">
        <v>46</v>
      </c>
    </row>
    <row r="387" spans="1:4" ht="12.75">
      <c r="A387" s="4" t="s">
        <v>65</v>
      </c>
      <c r="B387" t="s">
        <v>66</v>
      </c>
      <c r="C387" t="s">
        <v>67</v>
      </c>
      <c r="D387" s="4" t="s">
        <v>68</v>
      </c>
    </row>
    <row r="388" spans="1:4" ht="12.75">
      <c r="A388">
        <f>0.016708634-F361*(0.000042037+0.0000001267*F361)</f>
        <v>0.01670300771201673</v>
      </c>
      <c r="B388">
        <f>102.93735+F361*(1.71946+0.00046*F361)</f>
        <v>103.16740028520965</v>
      </c>
      <c r="C388">
        <f>B388-360*INT(B388/360)</f>
        <v>103.16740028520965</v>
      </c>
      <c r="D388">
        <f>RADIANS(C388)</f>
        <v>1.8006108156998455</v>
      </c>
    </row>
  </sheetData>
  <sheetProtection sheet="1" objects="1" scenarios="1"/>
  <printOptions/>
  <pageMargins left="0.75" right="0.75" top="1" bottom="1" header="0.5" footer="0.5"/>
  <pageSetup orientation="portrait"/>
  <headerFooter alignWithMargins="0">
    <oddHeader>&amp;CGHA of Aries, GP of main navigation stars
Enter Universal Time</oddHeader>
    <oddFooter>&amp;CCopyright 2009-2011. Navigation Spreadsheets.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Hakel</dc:creator>
  <cp:keywords/>
  <dc:description/>
  <cp:lastModifiedBy>Peter Hakel</cp:lastModifiedBy>
  <dcterms:created xsi:type="dcterms:W3CDTF">2009-05-16T22:21:17Z</dcterms:created>
  <dcterms:modified xsi:type="dcterms:W3CDTF">2013-05-19T02:34:45Z</dcterms:modified>
  <cp:category/>
  <cp:version/>
  <cp:contentType/>
  <cp:contentStatus/>
</cp:coreProperties>
</file>