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20" yWindow="1240" windowWidth="19420" windowHeight="8860" tabRatio="500" activeTab="0"/>
  </bookViews>
  <sheets>
    <sheet name="Main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<sst xmlns="http://schemas.openxmlformats.org/spreadsheetml/2006/main" count="71" uniqueCount="38">
  <si>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Latitude 1</t>
  </si>
  <si>
    <t>Longitude 1</t>
  </si>
  <si>
    <t>Altitude 1</t>
  </si>
  <si>
    <t>Latitude 2</t>
  </si>
  <si>
    <t>Longitude 2</t>
  </si>
  <si>
    <t>Altitude 2</t>
  </si>
  <si>
    <t>Degrees</t>
  </si>
  <si>
    <t>Minutes</t>
  </si>
  <si>
    <t>GHA 1</t>
  </si>
  <si>
    <t>GHA 2</t>
  </si>
  <si>
    <t>Declination 1</t>
  </si>
  <si>
    <t>Declination 2</t>
  </si>
  <si>
    <t>#########</t>
  </si>
  <si>
    <t>cos D12</t>
  </si>
  <si>
    <t>D12</t>
  </si>
  <si>
    <t>cos A</t>
  </si>
  <si>
    <t>A</t>
  </si>
  <si>
    <t>cos B</t>
  </si>
  <si>
    <t>B</t>
  </si>
  <si>
    <t>cos LHA 1</t>
  </si>
  <si>
    <t>LHA</t>
  </si>
  <si>
    <t>LHA 1 +</t>
  </si>
  <si>
    <t>LHA 1 -</t>
  </si>
  <si>
    <t>ZD 2 +</t>
  </si>
  <si>
    <t>ZD 2 -</t>
  </si>
  <si>
    <t>Ho 2 +</t>
  </si>
  <si>
    <t>Ho 2 -</t>
  </si>
  <si>
    <t>|delta Ho 2|</t>
  </si>
  <si>
    <t>sin Lat</t>
  </si>
  <si>
    <t>Lat</t>
  </si>
  <si>
    <t>Lat deg</t>
  </si>
  <si>
    <t>Lon +</t>
  </si>
  <si>
    <t>Lon -</t>
  </si>
  <si>
    <t>Lon</t>
  </si>
  <si>
    <t>Lon deg</t>
  </si>
  <si>
    <t>Enter Geographical Positions and observed altitudes (Ho)</t>
  </si>
  <si>
    <t>coscut</t>
  </si>
  <si>
    <t>Pi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</si>
</sst>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.0"/>
    <numFmt numFmtId="166" formatCode="00.0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5"/>
      <color indexed="12"/>
      <name val="Verdana"/>
      <family val="0"/>
    </font>
    <font>
      <u val="single"/>
      <sz val="15"/>
      <color indexed="61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 horizontal="righ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164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4" fontId="2" fillId="33" borderId="10" xfId="0" applyNumberFormat="1" applyFont="1" applyFill="1" applyBorder="1" applyAlignment="1" applyProtection="1">
      <alignment horizontal="right"/>
      <protection locked="0"/>
    </xf>
    <xf numFmtId="166" fontId="2" fillId="34" borderId="10" xfId="0" applyNumberFormat="1" applyFont="1" applyFill="1" applyBorder="1" applyAlignment="1" applyProtection="1">
      <alignment horizontal="right"/>
      <protection/>
    </xf>
    <xf numFmtId="2" fontId="0" fillId="35" borderId="10" xfId="0" applyNumberFormat="1" applyFill="1" applyBorder="1" applyAlignment="1">
      <alignment horizontal="right"/>
    </xf>
    <xf numFmtId="1" fontId="0" fillId="35" borderId="10" xfId="0" applyNumberFormat="1" applyFill="1" applyBorder="1" applyAlignment="1">
      <alignment horizontal="right"/>
    </xf>
    <xf numFmtId="166" fontId="0" fillId="35" borderId="10" xfId="0" applyNumberForma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150" zoomScaleNormal="150" workbookViewId="0" topLeftCell="A1">
      <selection activeCell="A3" sqref="A3"/>
    </sheetView>
  </sheetViews>
  <sheetFormatPr defaultColWidth="11.00390625" defaultRowHeight="12.75"/>
  <cols>
    <col min="1" max="2" width="12.00390625" style="0" bestFit="1" customWidth="1"/>
    <col min="4" max="4" width="11.375" style="0" customWidth="1"/>
    <col min="5" max="5" width="10.875" style="0" customWidth="1"/>
    <col min="6" max="6" width="12.00390625" style="0" bestFit="1" customWidth="1"/>
  </cols>
  <sheetData>
    <row r="1" ht="12.75">
      <c r="A1" s="1" t="s">
        <v>35</v>
      </c>
    </row>
    <row r="2" spans="1:6" s="2" customFormat="1" ht="12.75">
      <c r="A2" s="2" t="s">
        <v>10</v>
      </c>
      <c r="B2" s="2" t="s">
        <v>8</v>
      </c>
      <c r="C2" s="2" t="s">
        <v>2</v>
      </c>
      <c r="D2" s="2" t="s">
        <v>11</v>
      </c>
      <c r="E2" s="2" t="s">
        <v>9</v>
      </c>
      <c r="F2" s="2" t="s">
        <v>5</v>
      </c>
    </row>
    <row r="3" spans="1:6" s="5" customFormat="1" ht="12.75">
      <c r="A3" s="13">
        <v>46.00833333333333</v>
      </c>
      <c r="B3" s="13">
        <v>187.495</v>
      </c>
      <c r="C3" s="13">
        <v>64.436</v>
      </c>
      <c r="D3" s="13">
        <v>5.18666666666667</v>
      </c>
      <c r="E3" s="13">
        <v>151.91166666666666</v>
      </c>
      <c r="F3" s="13">
        <v>64.436</v>
      </c>
    </row>
    <row r="4" spans="1:6" s="5" customFormat="1" ht="12.75">
      <c r="A4" s="14">
        <f aca="true" t="shared" si="0" ref="A4:F4">ABS(A3-TRUNC(A3))*60</f>
        <v>0.4999999999999716</v>
      </c>
      <c r="B4" s="14">
        <f t="shared" si="0"/>
        <v>29.700000000000273</v>
      </c>
      <c r="C4" s="14">
        <f t="shared" si="0"/>
        <v>26.160000000000423</v>
      </c>
      <c r="D4" s="14">
        <f t="shared" si="0"/>
        <v>11.200000000000205</v>
      </c>
      <c r="E4" s="14">
        <f t="shared" si="0"/>
        <v>54.699999999999704</v>
      </c>
      <c r="F4" s="14">
        <f t="shared" si="0"/>
        <v>26.160000000000423</v>
      </c>
    </row>
    <row r="5" spans="1:6" s="12" customFormat="1" ht="12.75">
      <c r="A5" s="11"/>
      <c r="B5" s="11"/>
      <c r="C5" s="11"/>
      <c r="D5" s="11"/>
      <c r="E5" s="11"/>
      <c r="F5" s="11"/>
    </row>
    <row r="6" spans="1:6" s="4" customFormat="1" ht="12.75">
      <c r="A6" s="9" t="str">
        <f>IF(ABS(E18)&gt;1,"ERROR: LOPs do not intersect.","Retrieve the solutions")</f>
        <v>Retrieve the solutions</v>
      </c>
      <c r="B6" s="3"/>
      <c r="C6" s="3"/>
      <c r="D6" s="3"/>
      <c r="E6" s="3"/>
      <c r="F6" s="3"/>
    </row>
    <row r="7" spans="1:6" s="1" customFormat="1" ht="12.75">
      <c r="A7" s="1" t="s">
        <v>0</v>
      </c>
      <c r="B7" s="1" t="s">
        <v>6</v>
      </c>
      <c r="C7" s="1" t="s">
        <v>7</v>
      </c>
      <c r="D7" s="1" t="s">
        <v>1</v>
      </c>
      <c r="E7" s="1" t="s">
        <v>6</v>
      </c>
      <c r="F7" s="1" t="s">
        <v>7</v>
      </c>
    </row>
    <row r="8" spans="1:6" s="6" customFormat="1" ht="12.75">
      <c r="A8" s="15">
        <f>C21</f>
        <v>26.710152515768694</v>
      </c>
      <c r="B8" s="16">
        <f>TRUNC(A8)</f>
        <v>26</v>
      </c>
      <c r="C8" s="17">
        <f>ABS((A8-B8)*60)</f>
        <v>42.60915094612166</v>
      </c>
      <c r="D8" s="15">
        <f>C39</f>
        <v>-166.36696483065106</v>
      </c>
      <c r="E8" s="16">
        <f>TRUNC(D8)</f>
        <v>-166</v>
      </c>
      <c r="F8" s="17">
        <f>ABS((D8-E8)*60)</f>
        <v>22.0178898390634</v>
      </c>
    </row>
    <row r="9" spans="1:6" s="1" customFormat="1" ht="12.75">
      <c r="A9" s="1" t="s">
        <v>3</v>
      </c>
      <c r="B9" s="1" t="s">
        <v>6</v>
      </c>
      <c r="C9" s="1" t="s">
        <v>7</v>
      </c>
      <c r="D9" s="1" t="s">
        <v>4</v>
      </c>
      <c r="E9" s="1" t="s">
        <v>6</v>
      </c>
      <c r="F9" s="1" t="s">
        <v>7</v>
      </c>
    </row>
    <row r="10" spans="1:6" s="6" customFormat="1" ht="12.75">
      <c r="A10" s="15">
        <f>F21</f>
        <v>26.631267188176043</v>
      </c>
      <c r="B10" s="16">
        <f>TRUNC(A10)</f>
        <v>26</v>
      </c>
      <c r="C10" s="17">
        <f>ABS((A10-B10)*60)</f>
        <v>37.87603129056258</v>
      </c>
      <c r="D10" s="15">
        <f>F39</f>
        <v>-166.49142367613481</v>
      </c>
      <c r="E10" s="16">
        <f>TRUNC(D10)</f>
        <v>-166</v>
      </c>
      <c r="F10" s="17">
        <f>ABS((D10-E10)*60)</f>
        <v>29.485420568088898</v>
      </c>
    </row>
    <row r="12" spans="1:6" s="1" customFormat="1" ht="12.75">
      <c r="A12" s="1" t="s">
        <v>12</v>
      </c>
      <c r="B12" s="1" t="s">
        <v>12</v>
      </c>
      <c r="C12" s="1" t="s">
        <v>12</v>
      </c>
      <c r="D12" s="1" t="s">
        <v>12</v>
      </c>
      <c r="E12" s="1" t="s">
        <v>12</v>
      </c>
      <c r="F12" s="1" t="s">
        <v>12</v>
      </c>
    </row>
    <row r="13" s="8" customFormat="1" ht="12.75"/>
    <row r="14" spans="1:6" ht="12.75">
      <c r="A14" t="s">
        <v>10</v>
      </c>
      <c r="B14" t="s">
        <v>8</v>
      </c>
      <c r="C14" t="s">
        <v>2</v>
      </c>
      <c r="D14" t="s">
        <v>11</v>
      </c>
      <c r="E14" t="s">
        <v>9</v>
      </c>
      <c r="F14" t="s">
        <v>5</v>
      </c>
    </row>
    <row r="15" spans="1:6" ht="12.75">
      <c r="A15">
        <f aca="true" t="shared" si="1" ref="A15:F15">RADIANS(A3)</f>
        <v>0.8029969000217244</v>
      </c>
      <c r="B15">
        <f>IF(OR(B3=E3,ABS(B3-E3)=180),RADIANS(B3+0.000000001),RADIANS(B3))</f>
        <v>3.2724050810267684</v>
      </c>
      <c r="C15">
        <f t="shared" si="1"/>
        <v>1.1246203568150663</v>
      </c>
      <c r="D15">
        <f t="shared" si="1"/>
        <v>0.09052441053677261</v>
      </c>
      <c r="E15">
        <f t="shared" si="1"/>
        <v>2.6513587555254525</v>
      </c>
      <c r="F15">
        <f t="shared" si="1"/>
        <v>1.1246203568150663</v>
      </c>
    </row>
    <row r="17" spans="1:6" ht="12.75">
      <c r="A17" t="s">
        <v>13</v>
      </c>
      <c r="B17" t="s">
        <v>14</v>
      </c>
      <c r="C17" t="s">
        <v>15</v>
      </c>
      <c r="D17" t="s">
        <v>16</v>
      </c>
      <c r="E17" t="s">
        <v>17</v>
      </c>
      <c r="F17" t="s">
        <v>18</v>
      </c>
    </row>
    <row r="18" spans="1:6" ht="12.75">
      <c r="A18">
        <f>SIN(A15)*SIN(D15)+COS(A15)*COS(D15)*COS(B15-E15)</f>
        <v>0.627584965765869</v>
      </c>
      <c r="B18">
        <f>ACOS(A18)</f>
        <v>0.8923489800489853</v>
      </c>
      <c r="C18" s="7">
        <f>(SIN(D15)-SIN(A15)*A18)/COS(A15)/SIN(B18)</f>
        <v>-0.6678017128105894</v>
      </c>
      <c r="D18">
        <f>IF(C18&gt;A27,0,IF(C18&lt;-A27,A30,ACOS(C18)))</f>
        <v>2.3020478463139082</v>
      </c>
      <c r="E18">
        <f>(SIN(F15)-A18*SIN(C15))/SIN(B18)/COS(C15)</f>
        <v>0.9999961981776094</v>
      </c>
      <c r="F18">
        <f>ACOS(E18)</f>
        <v>0.0027574715953380124</v>
      </c>
    </row>
    <row r="20" spans="1:6" ht="12.75">
      <c r="A20" s="1" t="s">
        <v>28</v>
      </c>
      <c r="B20" s="1" t="s">
        <v>29</v>
      </c>
      <c r="C20" s="1" t="s">
        <v>30</v>
      </c>
      <c r="D20" s="1" t="s">
        <v>28</v>
      </c>
      <c r="E20" s="1" t="s">
        <v>29</v>
      </c>
      <c r="F20" s="1" t="s">
        <v>30</v>
      </c>
    </row>
    <row r="21" spans="1:6" ht="12.75">
      <c r="A21">
        <f>SIN(A15)*SIN(C15)+COS(A15)*COS(C15)*COS(D18-F18)</f>
        <v>0.44947729235027767</v>
      </c>
      <c r="B21">
        <f>ASIN(A21)</f>
        <v>0.46618010511001035</v>
      </c>
      <c r="C21">
        <f>DEGREES(B21)</f>
        <v>26.710152515768694</v>
      </c>
      <c r="D21">
        <f>SIN(A15)*SIN(C15)+COS(A15)*COS(C15)*COS(D18+F18)</f>
        <v>0.44824697486253035</v>
      </c>
      <c r="E21">
        <f>ASIN(D21)</f>
        <v>0.46480329641200424</v>
      </c>
      <c r="F21">
        <f>DEGREES(E21)</f>
        <v>26.631267188176043</v>
      </c>
    </row>
    <row r="23" spans="1:6" ht="12.75">
      <c r="A23" t="s">
        <v>19</v>
      </c>
      <c r="B23" t="s">
        <v>21</v>
      </c>
      <c r="C23" t="s">
        <v>22</v>
      </c>
      <c r="D23" t="s">
        <v>19</v>
      </c>
      <c r="E23" t="s">
        <v>21</v>
      </c>
      <c r="F23" t="s">
        <v>22</v>
      </c>
    </row>
    <row r="24" spans="1:6" ht="12.75">
      <c r="A24">
        <f>(SIN(C15)-SIN(A15)*A21)/COS(A15)/COS(B21)</f>
        <v>0.932777274546147</v>
      </c>
      <c r="B24">
        <f>ACOS(A24)</f>
        <v>0.36875377818229693</v>
      </c>
      <c r="C24">
        <f>-B24</f>
        <v>-0.36875377818229693</v>
      </c>
      <c r="D24">
        <f>(SIN(C15)-SIN(A15)*D21)/COS(A15)/COS(E21)</f>
        <v>0.9335580558433463</v>
      </c>
      <c r="E24">
        <f>ACOS(D24)</f>
        <v>0.36658156154537447</v>
      </c>
      <c r="F24">
        <f>-E24</f>
        <v>-0.36658156154537447</v>
      </c>
    </row>
    <row r="26" spans="1:6" ht="12.75">
      <c r="A26" t="s">
        <v>36</v>
      </c>
      <c r="B26" t="s">
        <v>31</v>
      </c>
      <c r="C26" t="s">
        <v>32</v>
      </c>
      <c r="E26" t="s">
        <v>31</v>
      </c>
      <c r="F26" t="s">
        <v>32</v>
      </c>
    </row>
    <row r="27" spans="1:6" ht="12.75">
      <c r="A27">
        <v>0.999999999999999</v>
      </c>
      <c r="B27">
        <f>B24-B15</f>
        <v>-2.9036513028444713</v>
      </c>
      <c r="C27">
        <f>C24-B15</f>
        <v>-3.6411588592090656</v>
      </c>
      <c r="E27">
        <f>E24-B15</f>
        <v>-2.9058235194813937</v>
      </c>
      <c r="F27">
        <f>F24-B15</f>
        <v>-3.638986642572143</v>
      </c>
    </row>
    <row r="29" spans="1:6" ht="12.75">
      <c r="A29" t="s">
        <v>37</v>
      </c>
      <c r="B29" t="s">
        <v>23</v>
      </c>
      <c r="C29" t="s">
        <v>24</v>
      </c>
      <c r="E29" t="s">
        <v>23</v>
      </c>
      <c r="F29" t="s">
        <v>24</v>
      </c>
    </row>
    <row r="30" spans="1:6" ht="12.75">
      <c r="A30">
        <f>RADIANS(180)</f>
        <v>3.141592653589793</v>
      </c>
      <c r="B30">
        <f>ACOS(A21*SIN(D15)+COS(B21)*COS(D15)*COS(E15+B27))</f>
        <v>0.4461759699798298</v>
      </c>
      <c r="C30">
        <f>ACOS(A21*SIN(D15)+COS(B21)*COS(D15)*COS(E15+C27))</f>
        <v>1.0134747171927376</v>
      </c>
      <c r="E30">
        <f>ACOS(D21*SIN(D15)+COS(E21)*COS(D15)*COS(E15+E27))</f>
        <v>0.44617596997983</v>
      </c>
      <c r="F30">
        <f>ACOS(D21*SIN(D15)+COS(E21)*COS(D15)*COS(E15+F27))</f>
        <v>1.0113028795301333</v>
      </c>
    </row>
    <row r="32" spans="2:6" ht="12.75">
      <c r="B32" t="s">
        <v>25</v>
      </c>
      <c r="C32" t="s">
        <v>26</v>
      </c>
      <c r="E32" t="s">
        <v>25</v>
      </c>
      <c r="F32" t="s">
        <v>26</v>
      </c>
    </row>
    <row r="33" spans="2:6" ht="12.75">
      <c r="B33">
        <f>90-DEGREES(B30)</f>
        <v>64.43600000000004</v>
      </c>
      <c r="C33">
        <f>90-DEGREES(C30)</f>
        <v>31.932176061641442</v>
      </c>
      <c r="E33">
        <f>90-DEGREES(E30)</f>
        <v>64.43600000000002</v>
      </c>
      <c r="F33">
        <f>90-DEGREES(F30)</f>
        <v>32.056613193496226</v>
      </c>
    </row>
    <row r="34" spans="1:6" ht="12.75">
      <c r="A34" s="10" t="s">
        <v>27</v>
      </c>
      <c r="B34">
        <f>ABS(B33-$F$3)</f>
        <v>2.842170943040401E-14</v>
      </c>
      <c r="C34">
        <f>ABS(C33-$F$3)</f>
        <v>32.503823938358565</v>
      </c>
      <c r="D34" s="10" t="s">
        <v>27</v>
      </c>
      <c r="E34">
        <f>ABS(E33-$F$3)</f>
        <v>1.4210854715202004E-14</v>
      </c>
      <c r="F34">
        <f>ABS(F33-$F$3)</f>
        <v>32.37938680650378</v>
      </c>
    </row>
    <row r="36" spans="1:6" ht="12.75">
      <c r="A36" s="1" t="s">
        <v>20</v>
      </c>
      <c r="B36" s="1" t="s">
        <v>33</v>
      </c>
      <c r="C36" s="1" t="s">
        <v>34</v>
      </c>
      <c r="D36" s="1" t="s">
        <v>20</v>
      </c>
      <c r="E36" s="1" t="s">
        <v>33</v>
      </c>
      <c r="F36" s="1" t="s">
        <v>34</v>
      </c>
    </row>
    <row r="37" spans="1:6" ht="12.75">
      <c r="A37">
        <f>B15+B37</f>
        <v>0.36875377818229715</v>
      </c>
      <c r="B37">
        <f>IF(B34&lt;C34,B27,C27)</f>
        <v>-2.9036513028444713</v>
      </c>
      <c r="C37">
        <f>DEGREES(B37)</f>
        <v>-166.36696483065106</v>
      </c>
      <c r="D37">
        <f>E15+E37</f>
        <v>-0.2544647639559412</v>
      </c>
      <c r="E37">
        <f>IF(E34&lt;F34,E27,F27)</f>
        <v>-2.9058235194813937</v>
      </c>
      <c r="F37">
        <f>DEGREES(E38)</f>
        <v>-166.49142367613481</v>
      </c>
    </row>
    <row r="38" spans="3:6" ht="12.75">
      <c r="C38">
        <f>C37-INT(C37/360)*360</f>
        <v>193.63303516934894</v>
      </c>
      <c r="E38">
        <f>IF(AND(OR(B3=E3,ABS(B3-E3)=180),A37*D37&gt;0),E37-2*D37,E37)</f>
        <v>-2.9058235194813937</v>
      </c>
      <c r="F38">
        <f>F37-INT(F37/360)*360</f>
        <v>193.50857632386519</v>
      </c>
    </row>
    <row r="39" spans="3:6" ht="12.75">
      <c r="C39">
        <f>IF(C38&gt;180,C38-360,C38)</f>
        <v>-166.36696483065106</v>
      </c>
      <c r="F39">
        <f>IF(F38&gt;180,F38-360,F38)</f>
        <v>-166.49142367613481</v>
      </c>
    </row>
  </sheetData>
  <sheetProtection sheet="1" objects="1" scenarios="1"/>
  <printOptions/>
  <pageMargins left="0.75" right="0.75" top="1" bottom="1" header="0.5" footer="0.5"/>
  <pageSetup orientation="portrait"/>
  <headerFooter alignWithMargins="0">
    <oddHeader>&amp;CIntersections of two LOPs</oddHeader>
    <oddFooter>&amp;C&amp;8Copyright 2009-2011. Navigation Spreadsheets.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Hakel</dc:creator>
  <cp:keywords/>
  <dc:description/>
  <cp:lastModifiedBy>Peter Hakel</cp:lastModifiedBy>
  <dcterms:created xsi:type="dcterms:W3CDTF">2009-02-01T05:13:19Z</dcterms:created>
  <dcterms:modified xsi:type="dcterms:W3CDTF">2013-05-19T02:49:16Z</dcterms:modified>
  <cp:category/>
  <cp:version/>
  <cp:contentType/>
  <cp:contentStatus/>
</cp:coreProperties>
</file>