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60" yWindow="1420" windowWidth="19420" windowHeight="92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<sst xmlns="http://schemas.openxmlformats.org/spreadsheetml/2006/main" count="153" uniqueCount="93">
  <si>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Cos(Z)</t>
  </si>
  <si>
    <t>########</t>
  </si>
  <si>
    <t>Departure</t>
  </si>
  <si>
    <t>Latitude</t>
  </si>
  <si>
    <t>Longitude</t>
  </si>
  <si>
    <t>Destination</t>
  </si>
  <si>
    <t>Great circle</t>
  </si>
  <si>
    <t>Rhumb line</t>
  </si>
  <si>
    <t>Distance (nm)</t>
  </si>
  <si>
    <t>Course</t>
  </si>
  <si>
    <t>##########</t>
  </si>
  <si>
    <t>Cos(D) gc</t>
  </si>
  <si>
    <t>Zn (deg)</t>
  </si>
  <si>
    <t>Z (deg)</t>
  </si>
  <si>
    <t>Z (rad)</t>
  </si>
  <si>
    <t>Vertex</t>
  </si>
  <si>
    <t>Degrees</t>
  </si>
  <si>
    <t>Minutes</t>
  </si>
  <si>
    <t>D gc (rad)</t>
  </si>
  <si>
    <t>dLon (deg)</t>
  </si>
  <si>
    <t>dLon (short)</t>
  </si>
  <si>
    <t>vertex</t>
  </si>
  <si>
    <t>Dep Lat term</t>
  </si>
  <si>
    <t>Dest Lat term</t>
  </si>
  <si>
    <t>Pi</t>
  </si>
  <si>
    <t>Denominator</t>
  </si>
  <si>
    <t>Pi / 4</t>
  </si>
  <si>
    <t>atan (deg)</t>
  </si>
  <si>
    <t>atan (rad)</t>
  </si>
  <si>
    <t>Distance (deg)</t>
  </si>
  <si>
    <t>E/W?</t>
  </si>
  <si>
    <t>exc</t>
  </si>
  <si>
    <t>I. course (rad)</t>
  </si>
  <si>
    <t>dL (deg)</t>
  </si>
  <si>
    <t>Lv (deg)</t>
  </si>
  <si>
    <t>#########</t>
  </si>
  <si>
    <t>ellipsoidal</t>
  </si>
  <si>
    <t>spherical</t>
  </si>
  <si>
    <t>spherical =</t>
  </si>
  <si>
    <t>ellipsoidal =</t>
  </si>
  <si>
    <t>Vincenty</t>
  </si>
  <si>
    <t>f</t>
  </si>
  <si>
    <t>U1</t>
  </si>
  <si>
    <t>U2</t>
  </si>
  <si>
    <t>WGS-84</t>
  </si>
  <si>
    <t>L</t>
  </si>
  <si>
    <t>Sin(sigma)</t>
  </si>
  <si>
    <t>Cos(sigma)</t>
  </si>
  <si>
    <t>sigma</t>
  </si>
  <si>
    <t>Sin(alpha)</t>
  </si>
  <si>
    <t>Cos(2sigmam)</t>
  </si>
  <si>
    <t>lambda =</t>
  </si>
  <si>
    <t>Cos^2(alpha)</t>
  </si>
  <si>
    <t>A</t>
  </si>
  <si>
    <t>B</t>
  </si>
  <si>
    <t>d(sigma)</t>
  </si>
  <si>
    <t>u and u^2</t>
  </si>
  <si>
    <t>a (nm and m)</t>
  </si>
  <si>
    <t>b (nm and m)</t>
  </si>
  <si>
    <t>s (rel. and nm)</t>
  </si>
  <si>
    <t>C</t>
  </si>
  <si>
    <t>lambda_p</t>
  </si>
  <si>
    <t>Iter1</t>
  </si>
  <si>
    <t>Iter2</t>
  </si>
  <si>
    <t>Iter3</t>
  </si>
  <si>
    <t>Iter4</t>
  </si>
  <si>
    <t>Final</t>
  </si>
  <si>
    <t>alpha1</t>
  </si>
  <si>
    <t>alpha2</t>
  </si>
  <si>
    <t>Note on alpha2</t>
  </si>
  <si>
    <t>flipped by pi</t>
  </si>
  <si>
    <t>flipped by 180</t>
  </si>
  <si>
    <t>relative to the</t>
  </si>
  <si>
    <t>given formula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</si>
  <si>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</si>
  <si>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</si>
  <si>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</si>
  <si>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</si>
  <si>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</si>
  <si>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</si>
  <si>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</si>
  <si>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</si>
  <si>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Initial Course</t>
  </si>
  <si>
    <t>Zn (rad)</t>
  </si>
  <si>
    <t>Test 1st q |dL|</t>
  </si>
  <si>
    <t>Test 2nd q |dL|</t>
  </si>
  <si>
    <t>|dL| (deg) 2</t>
  </si>
  <si>
    <t>Dep Lat (rad)</t>
  </si>
  <si>
    <t>Dep Lon (rad)</t>
  </si>
  <si>
    <t>Dest Lat (rad)</t>
  </si>
  <si>
    <t>Dest Lon (rad)</t>
  </si>
  <si>
    <t>Hemisphere N?</t>
  </si>
  <si>
    <t>Zn E/W?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</si>
</sst>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  <numFmt numFmtId="168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6" fontId="2" fillId="35" borderId="10" xfId="0" applyNumberFormat="1" applyFont="1" applyFill="1" applyBorder="1" applyAlignment="1" applyProtection="1">
      <alignment horizontal="right"/>
      <protection/>
    </xf>
    <xf numFmtId="165" fontId="0" fillId="36" borderId="10" xfId="0" applyNumberFormat="1" applyFill="1" applyBorder="1" applyAlignment="1">
      <alignment horizontal="right"/>
    </xf>
    <xf numFmtId="168" fontId="1" fillId="37" borderId="10" xfId="0" applyNumberFormat="1" applyFont="1" applyFill="1" applyBorder="1" applyAlignment="1">
      <alignment horizontal="right"/>
    </xf>
    <xf numFmtId="168" fontId="0" fillId="36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166" fontId="0" fillId="36" borderId="10" xfId="0" applyNumberFormat="1" applyFill="1" applyBorder="1" applyAlignment="1">
      <alignment horizontal="right"/>
    </xf>
    <xf numFmtId="168" fontId="0" fillId="36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166" fontId="0" fillId="36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50" zoomScaleNormal="150" workbookViewId="0" topLeftCell="A1">
      <selection activeCell="B2" sqref="B2"/>
    </sheetView>
  </sheetViews>
  <sheetFormatPr defaultColWidth="11.00390625" defaultRowHeight="12.75"/>
  <cols>
    <col min="1" max="1" width="11.00390625" style="0" customWidth="1"/>
    <col min="2" max="2" width="12.00390625" style="0" customWidth="1"/>
    <col min="3" max="3" width="12.75390625" style="0" bestFit="1" customWidth="1"/>
    <col min="4" max="4" width="11.75390625" style="0" customWidth="1"/>
    <col min="5" max="5" width="12.125" style="0" customWidth="1"/>
    <col min="6" max="6" width="11.375" style="0" bestFit="1" customWidth="1"/>
    <col min="7" max="7" width="11.75390625" style="0" bestFit="1" customWidth="1"/>
    <col min="8" max="8" width="12.25390625" style="0" bestFit="1" customWidth="1"/>
  </cols>
  <sheetData>
    <row r="1" spans="1:8" s="1" customFormat="1" ht="12.75">
      <c r="A1" s="8" t="s">
        <v>2</v>
      </c>
      <c r="B1" s="1" t="s">
        <v>3</v>
      </c>
      <c r="C1" s="1" t="s">
        <v>4</v>
      </c>
      <c r="D1" s="8" t="s">
        <v>5</v>
      </c>
      <c r="E1" s="1" t="s">
        <v>3</v>
      </c>
      <c r="F1" s="1" t="s">
        <v>4</v>
      </c>
      <c r="G1"/>
      <c r="H1"/>
    </row>
    <row r="2" spans="2:6" ht="12.75">
      <c r="B2" s="23">
        <v>26.631666666666668</v>
      </c>
      <c r="C2" s="23">
        <v>-166.49166666666667</v>
      </c>
      <c r="D2" s="6"/>
      <c r="E2" s="23">
        <v>26.71</v>
      </c>
      <c r="F2" s="23">
        <v>-166.36666666666667</v>
      </c>
    </row>
    <row r="3" spans="2:8" s="5" customFormat="1" ht="12.75">
      <c r="B3" s="24">
        <f>ABS(B2-TRUNC(B2))*60</f>
        <v>37.90000000000006</v>
      </c>
      <c r="C3" s="24">
        <f>ABS(C2-TRUNC(C2))*60</f>
        <v>29.500000000000455</v>
      </c>
      <c r="D3" s="7"/>
      <c r="E3" s="24">
        <f>ABS(E2-TRUNC(E2))*60</f>
        <v>42.60000000000005</v>
      </c>
      <c r="F3" s="24">
        <f>ABS(F2-TRUNC(F2))*60</f>
        <v>22.000000000000455</v>
      </c>
      <c r="G3"/>
      <c r="H3"/>
    </row>
    <row r="5" spans="1:8" s="2" customFormat="1" ht="12.75">
      <c r="A5" s="9" t="s">
        <v>6</v>
      </c>
      <c r="B5" s="2" t="s">
        <v>8</v>
      </c>
      <c r="C5" s="2" t="s">
        <v>82</v>
      </c>
      <c r="D5" s="9" t="s">
        <v>7</v>
      </c>
      <c r="E5" s="2" t="s">
        <v>8</v>
      </c>
      <c r="F5" s="2" t="s">
        <v>9</v>
      </c>
      <c r="G5"/>
      <c r="H5"/>
    </row>
    <row r="6" spans="1:8" s="3" customFormat="1" ht="12.75">
      <c r="A6" s="20" t="s">
        <v>38</v>
      </c>
      <c r="B6" s="25">
        <f>60*DEGREES(F18)</f>
        <v>8.185767413881285</v>
      </c>
      <c r="C6" s="26">
        <f>F21</f>
        <v>54.93062475794324</v>
      </c>
      <c r="D6" s="20" t="s">
        <v>38</v>
      </c>
      <c r="E6" s="25">
        <f>ABS(D31)*60</f>
        <v>8.18576774099339</v>
      </c>
      <c r="F6" s="25">
        <f>IF(B31&lt;0,360+B31,B31)</f>
        <v>54.9586628468667</v>
      </c>
      <c r="G6"/>
      <c r="H6"/>
    </row>
    <row r="7" spans="1:8" s="3" customFormat="1" ht="12.75">
      <c r="A7" s="20" t="s">
        <v>39</v>
      </c>
      <c r="B7" s="25">
        <f>E81</f>
        <v>8.186034001125494</v>
      </c>
      <c r="C7" s="25">
        <f>IF(A85&lt;0,360+A85,A85)</f>
        <v>55.075053913218724</v>
      </c>
      <c r="D7" s="20" t="s">
        <v>39</v>
      </c>
      <c r="E7" s="25">
        <f>ABS(D30)*60</f>
        <v>8.21580936835784</v>
      </c>
      <c r="F7" s="25">
        <f>IF(B30&lt;0,360+B30,B30)</f>
        <v>55.10545394678612</v>
      </c>
      <c r="G7"/>
      <c r="H7"/>
    </row>
    <row r="9" spans="1:2" ht="12.75">
      <c r="A9" s="9" t="s">
        <v>6</v>
      </c>
      <c r="B9" s="9" t="s">
        <v>21</v>
      </c>
    </row>
    <row r="10" spans="1:6" ht="12.75">
      <c r="A10" s="2" t="s">
        <v>3</v>
      </c>
      <c r="B10" s="2" t="s">
        <v>16</v>
      </c>
      <c r="C10" s="2" t="s">
        <v>17</v>
      </c>
      <c r="D10" s="2" t="s">
        <v>4</v>
      </c>
      <c r="E10" s="2" t="s">
        <v>16</v>
      </c>
      <c r="F10" s="2" t="s">
        <v>17</v>
      </c>
    </row>
    <row r="11" spans="1:6" ht="12.75">
      <c r="A11" s="27">
        <f>C44</f>
        <v>42.97727967744736</v>
      </c>
      <c r="B11" s="28">
        <f>TRUNC(A11)</f>
        <v>42</v>
      </c>
      <c r="C11" s="29">
        <f>ABS(A11-B11)*60</f>
        <v>58.6367806468418</v>
      </c>
      <c r="D11" s="30">
        <f>IF(F44&gt;180,F44-360,IF(F44&lt;=-180,F44+360,F44))</f>
        <v>-109.05091568212853</v>
      </c>
      <c r="E11" s="31">
        <f>TRUNC(D11)</f>
        <v>-109</v>
      </c>
      <c r="F11" s="32">
        <f>ABS(D11-E11)*60</f>
        <v>3.054940927711982</v>
      </c>
    </row>
    <row r="13" spans="1:6" ht="12.75">
      <c r="A13" s="4" t="s">
        <v>10</v>
      </c>
      <c r="B13" s="4" t="s">
        <v>10</v>
      </c>
      <c r="C13" s="4" t="s">
        <v>10</v>
      </c>
      <c r="D13" s="4" t="s">
        <v>10</v>
      </c>
      <c r="E13" s="4" t="s">
        <v>10</v>
      </c>
      <c r="F13" s="4" t="s">
        <v>1</v>
      </c>
    </row>
    <row r="14" spans="1:6" ht="12.75">
      <c r="A14" s="4"/>
      <c r="B14" s="4"/>
      <c r="C14" s="4"/>
      <c r="D14" s="4"/>
      <c r="E14" s="4"/>
      <c r="F14" s="4"/>
    </row>
    <row r="15" spans="1:2" s="12" customFormat="1" ht="12.75">
      <c r="A15" s="16" t="s">
        <v>6</v>
      </c>
      <c r="B15" s="12" t="s">
        <v>37</v>
      </c>
    </row>
    <row r="17" spans="1:6" ht="12.75">
      <c r="A17" t="s">
        <v>87</v>
      </c>
      <c r="B17" t="s">
        <v>88</v>
      </c>
      <c r="C17" t="s">
        <v>89</v>
      </c>
      <c r="D17" t="s">
        <v>90</v>
      </c>
      <c r="E17" t="s">
        <v>11</v>
      </c>
      <c r="F17" t="s">
        <v>18</v>
      </c>
    </row>
    <row r="18" spans="1:6" ht="12.75">
      <c r="A18">
        <f>RADIANS(B2)</f>
        <v>0.46481026862695657</v>
      </c>
      <c r="B18">
        <f>RADIANS(C2)</f>
        <v>-2.905827760466226</v>
      </c>
      <c r="C18">
        <f>RADIANS(E2)</f>
        <v>0.46617744320768545</v>
      </c>
      <c r="D18">
        <f>RADIANS(F2)</f>
        <v>-2.903646098901233</v>
      </c>
      <c r="E18">
        <f>SIN(A18)*SIN(C18)+COS(A18)*COS(C18)*COS(D18-B18)</f>
        <v>0.9999971650798234</v>
      </c>
      <c r="F18">
        <f>ACOS(E18)</f>
        <v>0.0023811432195781634</v>
      </c>
    </row>
    <row r="20" spans="1:6" ht="12.75">
      <c r="A20" t="s">
        <v>0</v>
      </c>
      <c r="B20" t="s">
        <v>14</v>
      </c>
      <c r="C20" t="s">
        <v>13</v>
      </c>
      <c r="D20" t="s">
        <v>19</v>
      </c>
      <c r="E20" t="s">
        <v>20</v>
      </c>
      <c r="F20" t="s">
        <v>12</v>
      </c>
    </row>
    <row r="21" spans="1:6" s="10" customFormat="1" ht="12.75">
      <c r="A21" s="10">
        <f>(SIN(C18)-SIN(A18)*E18)/COS(A18)/SQRT(1-E18*E18)</f>
        <v>0.5745678665636896</v>
      </c>
      <c r="B21" s="10">
        <f>ACOS(A21)</f>
        <v>0.9587202622036228</v>
      </c>
      <c r="C21" s="10">
        <f>IF(A21&gt;0.999999,0,IF(A21&lt;-0.999999,180,DEGREES(B21)))</f>
        <v>54.93062475794324</v>
      </c>
      <c r="D21" s="13">
        <f>F2-C2</f>
        <v>0.125</v>
      </c>
      <c r="E21" s="10">
        <f>IF(D21&gt;180,D21-360,IF(D21&lt;-180,D21+360,D21))</f>
        <v>0.125</v>
      </c>
      <c r="F21" s="10">
        <f>IF(E21&lt;0,360-C21,C21)</f>
        <v>54.93062475794324</v>
      </c>
    </row>
    <row r="22" s="10" customFormat="1" ht="12.75">
      <c r="D22" s="13"/>
    </row>
    <row r="23" spans="1:6" s="10" customFormat="1" ht="12.75">
      <c r="A23" s="10" t="s">
        <v>35</v>
      </c>
      <c r="B23" s="10" t="s">
        <v>35</v>
      </c>
      <c r="C23" s="10" t="s">
        <v>35</v>
      </c>
      <c r="D23" s="10" t="s">
        <v>35</v>
      </c>
      <c r="E23" s="10" t="s">
        <v>35</v>
      </c>
      <c r="F23" s="10" t="s">
        <v>35</v>
      </c>
    </row>
    <row r="24" s="10" customFormat="1" ht="12.75">
      <c r="D24" s="13"/>
    </row>
    <row r="25" spans="1:6" s="10" customFormat="1" ht="12.75">
      <c r="A25" s="17" t="s">
        <v>7</v>
      </c>
      <c r="B25" s="15" t="s">
        <v>24</v>
      </c>
      <c r="C25" s="15" t="s">
        <v>26</v>
      </c>
      <c r="D25" s="15" t="s">
        <v>22</v>
      </c>
      <c r="E25" s="15" t="s">
        <v>23</v>
      </c>
      <c r="F25" s="10" t="s">
        <v>25</v>
      </c>
    </row>
    <row r="26" spans="1:6" s="10" customFormat="1" ht="12.75">
      <c r="A26" s="15" t="s">
        <v>36</v>
      </c>
      <c r="B26" s="10">
        <v>3.14159265359</v>
      </c>
      <c r="C26" s="10">
        <f>B26/4</f>
        <v>0.7853981633975</v>
      </c>
      <c r="D26" s="13">
        <f>LN(TAN(C26+A18/2)/((1+F30*SIN(A18))/(1-F30*SIN(A18)))^(F30/2))</f>
        <v>0.479461009813069</v>
      </c>
      <c r="E26" s="13">
        <f>LN(TAN(C26+C18/2)/((1+F30*SIN(C18))/(1-F30*SIN(C18)))^(F30/2))</f>
        <v>0.48098264928606516</v>
      </c>
      <c r="F26" s="10">
        <f>E26-D26</f>
        <v>0.0015216394729961613</v>
      </c>
    </row>
    <row r="27" spans="1:6" s="10" customFormat="1" ht="12.75">
      <c r="A27" s="15" t="s">
        <v>37</v>
      </c>
      <c r="D27" s="13">
        <f>LN(TAN(C26+A18/2))</f>
        <v>0.48251209631194236</v>
      </c>
      <c r="E27" s="10">
        <f>LN(TAN(C26+C18/2))</f>
        <v>0.48404205909213893</v>
      </c>
      <c r="F27" s="10">
        <f>E27-D27</f>
        <v>0.0015299627801965698</v>
      </c>
    </row>
    <row r="28" spans="1:4" s="10" customFormat="1" ht="12.75">
      <c r="A28" s="15"/>
      <c r="B28" s="14"/>
      <c r="D28" s="13"/>
    </row>
    <row r="29" spans="1:6" s="10" customFormat="1" ht="12.75">
      <c r="A29" s="15" t="s">
        <v>28</v>
      </c>
      <c r="B29" s="15" t="s">
        <v>27</v>
      </c>
      <c r="C29" s="10" t="s">
        <v>30</v>
      </c>
      <c r="D29" s="13" t="s">
        <v>29</v>
      </c>
      <c r="F29" s="10" t="s">
        <v>31</v>
      </c>
    </row>
    <row r="30" spans="1:6" s="13" customFormat="1" ht="12.75">
      <c r="A30" s="13">
        <f>ATAN2(F26,RADIANS(E21))</f>
        <v>0.961771607177522</v>
      </c>
      <c r="B30" s="18">
        <f>DEGREES(A30)</f>
        <v>55.10545394678612</v>
      </c>
      <c r="C30" s="13" t="b">
        <f>OR(ABS(B30)=90,ABS(B30)=270)</f>
        <v>0</v>
      </c>
      <c r="D30" s="13">
        <f>IF(C30,E21*COS(A18),(E2-B2)/COS(A30))</f>
        <v>0.13693015613929735</v>
      </c>
      <c r="F30" s="13">
        <v>0.082483399</v>
      </c>
    </row>
    <row r="31" spans="1:4" s="13" customFormat="1" ht="12.75">
      <c r="A31" s="13">
        <f>ATAN2(F27,RADIANS(E21))</f>
        <v>0.9592096191713041</v>
      </c>
      <c r="B31" s="18">
        <f>DEGREES(A31)</f>
        <v>54.9586628468667</v>
      </c>
      <c r="C31" s="13" t="b">
        <f>OR(ABS(B31)=90,ABS(B31)=270)</f>
        <v>0</v>
      </c>
      <c r="D31" s="13">
        <f>IF(C31,E21*COS(A18),(E2-B2)/COS(A31))</f>
        <v>0.1364294623498898</v>
      </c>
    </row>
    <row r="32" s="13" customFormat="1" ht="12.75">
      <c r="B32" s="18"/>
    </row>
    <row r="33" spans="1:6" s="13" customFormat="1" ht="12.75">
      <c r="A33" s="10" t="s">
        <v>35</v>
      </c>
      <c r="B33" s="10" t="s">
        <v>35</v>
      </c>
      <c r="C33" s="10" t="s">
        <v>35</v>
      </c>
      <c r="D33" s="10" t="s">
        <v>35</v>
      </c>
      <c r="E33" s="10" t="s">
        <v>35</v>
      </c>
      <c r="F33" s="10" t="s">
        <v>35</v>
      </c>
    </row>
    <row r="34" s="10" customFormat="1" ht="12.75">
      <c r="D34" s="11"/>
    </row>
    <row r="35" ht="12.75">
      <c r="A35" s="19" t="s">
        <v>15</v>
      </c>
    </row>
    <row r="37" spans="1:6" ht="12.75">
      <c r="A37" t="s">
        <v>32</v>
      </c>
      <c r="B37" t="s">
        <v>74</v>
      </c>
      <c r="C37" t="s">
        <v>75</v>
      </c>
      <c r="D37" t="s">
        <v>76</v>
      </c>
      <c r="E37" t="s">
        <v>79</v>
      </c>
      <c r="F37" t="s">
        <v>86</v>
      </c>
    </row>
    <row r="38" spans="1:6" ht="12.75">
      <c r="A38">
        <f>RADIANS(F21)</f>
        <v>0.9587202622036228</v>
      </c>
      <c r="B38">
        <f>ABS(COS(A18)*SIN(A38))</f>
        <v>0.7316240867651279</v>
      </c>
      <c r="C38">
        <f>ACOS(B38)</f>
        <v>0.750095033921903</v>
      </c>
      <c r="D38">
        <f>DEGREES(C38)</f>
        <v>42.97727967744736</v>
      </c>
      <c r="E38">
        <f>ABS(COS(A38)/SIN(C38))</f>
        <v>0.842835378608559</v>
      </c>
      <c r="F38">
        <f>IF(E38&gt;0.999999,90,DEGREES(ASIN(E38)))</f>
        <v>57.44075098453815</v>
      </c>
    </row>
    <row r="39" ht="12.75">
      <c r="F39">
        <f>180-F38</f>
        <v>122.55924901546186</v>
      </c>
    </row>
    <row r="40" spans="1:5" ht="12.75">
      <c r="A40" t="s">
        <v>83</v>
      </c>
      <c r="B40" t="s">
        <v>84</v>
      </c>
      <c r="C40" t="s">
        <v>85</v>
      </c>
      <c r="D40" t="s">
        <v>92</v>
      </c>
      <c r="E40" t="s">
        <v>91</v>
      </c>
    </row>
    <row r="41" spans="1:5" ht="12.75">
      <c r="A41">
        <f>RADIANS(F21)</f>
        <v>0.9587202622036228</v>
      </c>
      <c r="B41">
        <f>-COS(A41)*COS(RADIANS(F38))+SIN(A41)*E38*SIN(A18)*D44</f>
        <v>0</v>
      </c>
      <c r="C41">
        <f>-COS(A41)*COS(RADIANS(F39))+SIN(A41)*E38*SIN(A18)*D44</f>
        <v>0.6184320597271018</v>
      </c>
      <c r="D41" t="b">
        <f>OR(ABS(F21-90)&lt;0.001,ABS(F21-270)&lt;0.001)</f>
        <v>0</v>
      </c>
      <c r="E41">
        <f>IF(B2&gt;=0,1,-1)</f>
        <v>1</v>
      </c>
    </row>
    <row r="43" spans="1:6" ht="12.75">
      <c r="A43" t="s">
        <v>80</v>
      </c>
      <c r="B43" t="s">
        <v>77</v>
      </c>
      <c r="C43" t="s">
        <v>34</v>
      </c>
      <c r="D43" t="s">
        <v>78</v>
      </c>
      <c r="E43" t="s">
        <v>33</v>
      </c>
      <c r="F43" t="s">
        <v>81</v>
      </c>
    </row>
    <row r="44" spans="1:6" ht="12.75">
      <c r="A44" s="22">
        <f>IF(D41,180,IF(ABS(B41)&lt;ABS(C41),F38,F39))</f>
        <v>57.44075098453815</v>
      </c>
      <c r="B44" t="b">
        <f>AND(F21&gt;=90,F21&lt;=270)</f>
        <v>0</v>
      </c>
      <c r="C44">
        <f>IF(D41,-E41*D38,IF(B44,-D38,D38))</f>
        <v>42.97727967744736</v>
      </c>
      <c r="D44">
        <f>IF(AND(F21&gt;=0,F21&lt;=180),1,-1)</f>
        <v>1</v>
      </c>
      <c r="E44" s="22">
        <f>D44*A44</f>
        <v>57.44075098453815</v>
      </c>
      <c r="F44" s="22">
        <f>C2+E44</f>
        <v>-109.05091568212853</v>
      </c>
    </row>
    <row r="46" spans="1:6" s="13" customFormat="1" ht="12.75">
      <c r="A46" s="10" t="s">
        <v>35</v>
      </c>
      <c r="B46" s="10" t="s">
        <v>35</v>
      </c>
      <c r="C46" s="10" t="s">
        <v>35</v>
      </c>
      <c r="D46" s="10" t="s">
        <v>35</v>
      </c>
      <c r="E46" s="10" t="s">
        <v>35</v>
      </c>
      <c r="F46" s="10" t="s">
        <v>35</v>
      </c>
    </row>
    <row r="48" spans="1:5" ht="12.75">
      <c r="A48" s="16" t="s">
        <v>6</v>
      </c>
      <c r="B48" s="15" t="s">
        <v>36</v>
      </c>
      <c r="C48" t="s">
        <v>40</v>
      </c>
      <c r="E48" t="s">
        <v>44</v>
      </c>
    </row>
    <row r="50" spans="1:6" ht="12.75">
      <c r="A50" t="s">
        <v>57</v>
      </c>
      <c r="B50" t="s">
        <v>58</v>
      </c>
      <c r="C50" t="s">
        <v>41</v>
      </c>
      <c r="D50" t="s">
        <v>42</v>
      </c>
      <c r="E50" t="s">
        <v>43</v>
      </c>
      <c r="F50" t="s">
        <v>45</v>
      </c>
    </row>
    <row r="51" spans="1:6" ht="12.75">
      <c r="A51" s="21">
        <v>1</v>
      </c>
      <c r="B51" s="21">
        <v>0.996647189296812</v>
      </c>
      <c r="C51">
        <f>1/298.257223563</f>
        <v>0.0033528106647474805</v>
      </c>
      <c r="D51">
        <f>ATAN((1-C51)*TAN(A18))</f>
        <v>0.46346590421578615</v>
      </c>
      <c r="E51">
        <f>ATAN((1-C51)*TAN(C18))</f>
        <v>0.4648303352333708</v>
      </c>
      <c r="F51">
        <f>RADIANS(D21)</f>
        <v>0.002181661564992912</v>
      </c>
    </row>
    <row r="52" spans="1:5" ht="12.75">
      <c r="A52" s="21">
        <v>6378137</v>
      </c>
      <c r="B52" s="21">
        <v>6356752.314</v>
      </c>
      <c r="C52">
        <f>(A51-B51)/A51</f>
        <v>0.003352810703188047</v>
      </c>
      <c r="E52" s="14"/>
    </row>
    <row r="53" spans="1:6" ht="12.75">
      <c r="A53" s="14" t="s">
        <v>51</v>
      </c>
      <c r="B53" s="22">
        <f>F51</f>
        <v>0.002181661564992912</v>
      </c>
      <c r="E53" s="14"/>
      <c r="F53" s="4" t="s">
        <v>62</v>
      </c>
    </row>
    <row r="54" spans="1:5" ht="12.75">
      <c r="A54" s="21"/>
      <c r="B54" s="21"/>
      <c r="E54" s="14"/>
    </row>
    <row r="55" spans="1:6" ht="12.75">
      <c r="A55" t="s">
        <v>46</v>
      </c>
      <c r="B55" t="s">
        <v>47</v>
      </c>
      <c r="C55" t="s">
        <v>48</v>
      </c>
      <c r="D55" t="s">
        <v>49</v>
      </c>
      <c r="E55" t="s">
        <v>52</v>
      </c>
      <c r="F55" t="s">
        <v>50</v>
      </c>
    </row>
    <row r="56" spans="1:6" ht="12.75">
      <c r="A56">
        <f>SQRT((COS($E$51)*SIN(B53))^2+(COS($D$51)*SIN($E$51)-SIN($D$51)*COS(E51)*COS(B53))^2)</f>
        <v>0.002380645119873629</v>
      </c>
      <c r="B56">
        <f>SIN($D$51)*SIN($E$51)+COS($D$51)*COS($E$51)*COS(B53)</f>
        <v>0.9999971662603915</v>
      </c>
      <c r="C56">
        <f>ATAN2(B56,A56)</f>
        <v>0.0023806473685856347</v>
      </c>
      <c r="D56">
        <f>COS($D$51)*COS($E$51)*SIN(B53)/A56</f>
        <v>0.7327648100243996</v>
      </c>
      <c r="E56">
        <f>1-D56*D56</f>
        <v>0.46305573318990556</v>
      </c>
      <c r="F56">
        <f>IF(E56&lt;0.001,0,B56-2*SIN($D$51)*SIN($E$51)/E56)</f>
        <v>0.134442205865981</v>
      </c>
    </row>
    <row r="58" spans="1:6" ht="12.75">
      <c r="A58" t="s">
        <v>60</v>
      </c>
      <c r="B58" t="s">
        <v>61</v>
      </c>
      <c r="F58" s="4" t="s">
        <v>63</v>
      </c>
    </row>
    <row r="59" spans="1:2" ht="12.75">
      <c r="A59">
        <f>$C$51/16*E56*(4+$C$51*(4-3*E56))</f>
        <v>0.00038898394652493723</v>
      </c>
      <c r="B59">
        <f>$F$51+(1-A59)*$C$51*D56*(C56+A59*A56*(F56+A59*B56*(-1+2*F56*F56)))</f>
        <v>0.002187508420834241</v>
      </c>
    </row>
    <row r="61" spans="1:6" ht="12.75">
      <c r="A61" t="s">
        <v>46</v>
      </c>
      <c r="B61" t="s">
        <v>47</v>
      </c>
      <c r="C61" t="s">
        <v>48</v>
      </c>
      <c r="D61" t="s">
        <v>49</v>
      </c>
      <c r="E61" t="s">
        <v>52</v>
      </c>
      <c r="F61" t="s">
        <v>50</v>
      </c>
    </row>
    <row r="62" spans="1:6" ht="12.75">
      <c r="A62">
        <f>SQRT((COS($E$51)*SIN(B59))^2+(COS($D$51)*SIN($E$51)-SIN($D$51)*COS($E$51)*COS(B59))^2)</f>
        <v>0.0023849313603661617</v>
      </c>
      <c r="B62">
        <f>SIN($D$51)*SIN($E$51)+COS($D$51)*COS($E$51)*COS(B59)</f>
        <v>0.9999971560471591</v>
      </c>
      <c r="C62">
        <f>ATAN2(B62,A62)</f>
        <v>0.0023849336212461727</v>
      </c>
      <c r="D62">
        <f>COS($D$51)*COS($E$51)*SIN(B59)/A62</f>
        <v>0.7334081503785846</v>
      </c>
      <c r="E62">
        <f>1-D62*D62</f>
        <v>0.4621124849582634</v>
      </c>
      <c r="F62">
        <f>IF(E62&lt;0.001,0,B62-2*SIN($D$51)*SIN($E$51)/E62)</f>
        <v>0.13267545441039752</v>
      </c>
    </row>
    <row r="64" spans="1:6" ht="12.75">
      <c r="A64" t="s">
        <v>60</v>
      </c>
      <c r="B64" t="s">
        <v>61</v>
      </c>
      <c r="F64" s="4" t="s">
        <v>64</v>
      </c>
    </row>
    <row r="65" spans="1:2" ht="12.75">
      <c r="A65">
        <f>$C$51/16*E62*(4+$C$51*(4-3*E62))</f>
        <v>0.00038819250185595766</v>
      </c>
      <c r="B65">
        <f>$F$51+(1-A65)*$C$51*D62*(C62+A65*A62*(F62+A65*B62*(-1+2*F62*F62)))</f>
        <v>0.0021875240904105316</v>
      </c>
    </row>
    <row r="67" spans="1:6" ht="12.75">
      <c r="A67" t="s">
        <v>46</v>
      </c>
      <c r="B67" t="s">
        <v>47</v>
      </c>
      <c r="C67" t="s">
        <v>48</v>
      </c>
      <c r="D67" t="s">
        <v>49</v>
      </c>
      <c r="E67" t="s">
        <v>52</v>
      </c>
      <c r="F67" t="s">
        <v>50</v>
      </c>
    </row>
    <row r="68" spans="1:6" ht="12.75">
      <c r="A68">
        <f>SQRT((COS($E$51)*SIN(B65))^2+(COS($D$51)*SIN($E$51)-SIN($D$51)*COS($E$51)*COS(B65))^2)</f>
        <v>0.0023849428525419165</v>
      </c>
      <c r="B68">
        <f>SIN($D$51)*SIN($E$51)+COS($D$51)*COS($E$51)*COS(B65)</f>
        <v>0.9999971560197509</v>
      </c>
      <c r="C68">
        <f>ATAN2(B68,A68)</f>
        <v>0.0023849451134546115</v>
      </c>
      <c r="D68">
        <f>COS($D$51)*COS($E$51)*SIN(B65)/A68</f>
        <v>0.7334098698712785</v>
      </c>
      <c r="E68">
        <f>1-D68*D68</f>
        <v>0.4621099627753943</v>
      </c>
      <c r="F68">
        <f>IF(E68&lt;0.001,0,B68-2*SIN($D$51)*SIN($E$51)/E68)</f>
        <v>0.13267072056611873</v>
      </c>
    </row>
    <row r="70" spans="1:6" ht="12.75">
      <c r="A70" t="s">
        <v>60</v>
      </c>
      <c r="B70" t="s">
        <v>61</v>
      </c>
      <c r="F70" s="4" t="s">
        <v>65</v>
      </c>
    </row>
    <row r="71" spans="1:2" ht="12.75">
      <c r="A71">
        <f>$C$51/16*E68*(4+$C$51*(4-3*E68))</f>
        <v>0.00038819038558066403</v>
      </c>
      <c r="B71">
        <f>$F$51+(1-A71)*$C$51*D68*(C68+A71*A68*(F68+A71*B68*(-1+2*F68*F68)))</f>
        <v>0.002187524132405003</v>
      </c>
    </row>
    <row r="73" spans="1:6" ht="12.75">
      <c r="A73" t="s">
        <v>46</v>
      </c>
      <c r="B73" t="s">
        <v>47</v>
      </c>
      <c r="C73" t="s">
        <v>48</v>
      </c>
      <c r="D73" t="s">
        <v>49</v>
      </c>
      <c r="E73" t="s">
        <v>52</v>
      </c>
      <c r="F73" t="s">
        <v>50</v>
      </c>
    </row>
    <row r="74" spans="1:6" ht="12.75">
      <c r="A74">
        <f>SQRT((COS($E$51)*SIN(B71))^2+(COS($D$51)*SIN($E$51)-SIN($D$51)*COS($E$51)*COS(B71))^2)</f>
        <v>0.0023849428833409795</v>
      </c>
      <c r="B74">
        <f>SIN($D$51)*SIN($E$51)+COS($D$51)*COS($E$51)*COS(B71)</f>
        <v>0.9999971560196774</v>
      </c>
      <c r="C74">
        <f>ATAN2(B74,A74)</f>
        <v>0.002384945144253762</v>
      </c>
      <c r="D74">
        <f>COS($D$51)*COS($E$51)*SIN(B71)/A74</f>
        <v>0.7334098744794894</v>
      </c>
      <c r="E74">
        <f>1-D74*D74</f>
        <v>0.4621099560159797</v>
      </c>
      <c r="F74">
        <f>IF(E74&lt;0.001,0,B74-2*SIN($D$51)*SIN($E$51)/E74)</f>
        <v>0.13267070787941315</v>
      </c>
    </row>
    <row r="76" spans="1:6" ht="12.75">
      <c r="A76" t="s">
        <v>60</v>
      </c>
      <c r="B76" t="s">
        <v>61</v>
      </c>
      <c r="F76" s="4" t="s">
        <v>66</v>
      </c>
    </row>
    <row r="77" spans="1:2" ht="12.75">
      <c r="A77">
        <f>$C$51/16*E74*(4+$C$51*(4-3*E74))</f>
        <v>0.0003881903799090759</v>
      </c>
      <c r="B77">
        <f>$F$51+(1-A77)*$C$51*D74*(C74+A77*A74*(F74+A77*B74*(-1+2*F74*F74)))</f>
        <v>0.0021875241325175483</v>
      </c>
    </row>
    <row r="79" spans="1:5" ht="12.75">
      <c r="A79" t="s">
        <v>56</v>
      </c>
      <c r="B79" t="s">
        <v>53</v>
      </c>
      <c r="C79" t="s">
        <v>54</v>
      </c>
      <c r="D79" t="s">
        <v>55</v>
      </c>
      <c r="E79" t="s">
        <v>59</v>
      </c>
    </row>
    <row r="80" spans="1:5" ht="12.75">
      <c r="A80">
        <f>E74*($A$51*$A$51-$B$51*$B$51)/$B$51*$B$51</f>
        <v>0.003093539678206889</v>
      </c>
      <c r="B80">
        <f>1+A81/16384*(4096+A81*(-768+A81*(320-175*A81)))</f>
        <v>1.0000023924926422</v>
      </c>
      <c r="C80">
        <f>A81/1024*(256+A81*(-128+A81*(74-47*A81)))</f>
        <v>2.392485487140264E-06</v>
      </c>
      <c r="D80">
        <f>C80*A74*(F74+C80/4*(B74*(-1+2*F74*F74)-C80/6*F74*(-3+4*A74*A74)*(-3+4*F74*F74)))</f>
        <v>7.570079702102082E-10</v>
      </c>
      <c r="E80">
        <f>$B$51*B80*(C74-D80)</f>
        <v>0.0023769538070086142</v>
      </c>
    </row>
    <row r="81" spans="1:5" ht="12.75">
      <c r="A81">
        <f>A80*A80</f>
        <v>9.569987740640382E-06</v>
      </c>
      <c r="E81">
        <f>E80*3443.918</f>
        <v>8.186034001125494</v>
      </c>
    </row>
    <row r="83" spans="1:3" ht="12.75">
      <c r="A83" t="s">
        <v>67</v>
      </c>
      <c r="B83" t="s">
        <v>68</v>
      </c>
      <c r="C83" t="s">
        <v>69</v>
      </c>
    </row>
    <row r="84" spans="1:4" ht="12.75">
      <c r="A84">
        <f>ATAN2(COS($D$51)*SIN($E$51)-SIN($D$51)*COS($E$51)*COS(B77),COS($E$51)*SIN(B77))</f>
        <v>0.9612410264990541</v>
      </c>
      <c r="B84">
        <f>ATAN2(+SIN($D$51)*COS($E$51)-COS($D$51)*SIN($E$51)*COS(B77),-COS($D$51)*SIN(B77))</f>
        <v>-2.1793723568508443</v>
      </c>
      <c r="C84" t="s">
        <v>70</v>
      </c>
      <c r="D84" t="s">
        <v>72</v>
      </c>
    </row>
    <row r="85" spans="1:4" ht="12.75">
      <c r="A85">
        <f>DEGREES(A84)</f>
        <v>55.075053913218724</v>
      </c>
      <c r="B85">
        <f>DEGREES(B84)</f>
        <v>-124.86883803503254</v>
      </c>
      <c r="C85" t="s">
        <v>71</v>
      </c>
      <c r="D85" t="s">
        <v>73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&amp;CGreat-circle and rhumb-line sailings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2013-05-19T15:17:13Z</dcterms:modified>
  <cp:category/>
  <cp:version/>
  <cp:contentType/>
  <cp:contentStatus/>
</cp:coreProperties>
</file>