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60" windowWidth="17300" windowHeight="7400" tabRatio="645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<sst xmlns="http://schemas.openxmlformats.org/spreadsheetml/2006/main" count="4280" uniqueCount="202">
  <si>
    <t>Kochab</t>
  </si>
  <si>
    <t>Markab</t>
  </si>
  <si>
    <t>Menkar</t>
  </si>
  <si>
    <t>Menkent</t>
  </si>
  <si>
    <t>Miaplacidus</t>
  </si>
  <si>
    <t>Mirfak</t>
  </si>
  <si>
    <t>Nunki</t>
  </si>
  <si>
    <t>Peacock</t>
  </si>
  <si>
    <t>Pollux</t>
  </si>
  <si>
    <t>Procyon</t>
  </si>
  <si>
    <t>Rasalhague</t>
  </si>
  <si>
    <t>Regulus</t>
  </si>
  <si>
    <t>Rigel</t>
  </si>
  <si>
    <t>Rigil Kent.</t>
  </si>
  <si>
    <t>Sabik</t>
  </si>
  <si>
    <t>Schedar</t>
  </si>
  <si>
    <t>Shaula</t>
  </si>
  <si>
    <t>Sirius</t>
  </si>
  <si>
    <t>Spica</t>
  </si>
  <si>
    <t>Suhail</t>
  </si>
  <si>
    <t>Vega</t>
  </si>
  <si>
    <t>Zuben'ubi</t>
  </si>
  <si>
    <t>0.1-1.2 Var</t>
  </si>
  <si>
    <t>Y =</t>
  </si>
  <si>
    <t>Year &lt;= -500</t>
  </si>
  <si>
    <t>2150 &lt; Year</t>
  </si>
  <si>
    <t>u =</t>
  </si>
  <si>
    <t>dT =</t>
  </si>
  <si>
    <t>-500 &lt; Year</t>
  </si>
  <si>
    <t>Year &lt;= 500</t>
  </si>
  <si>
    <t>500 &lt; Year</t>
  </si>
  <si>
    <t>Year &lt;= 1600</t>
  </si>
  <si>
    <t>1600 &lt; Year</t>
  </si>
  <si>
    <t>Year &lt;= 1700</t>
  </si>
  <si>
    <t>t =</t>
  </si>
  <si>
    <t>1700 &lt; Year</t>
  </si>
  <si>
    <t>Year &lt;= 1800</t>
  </si>
  <si>
    <t>1800 &lt; Year</t>
  </si>
  <si>
    <t>Year &lt;= 1860</t>
  </si>
  <si>
    <t>1860 &lt; Year</t>
  </si>
  <si>
    <t>Year &lt;= 1900</t>
  </si>
  <si>
    <t>1900 &lt; Year</t>
  </si>
  <si>
    <t>Year &lt;= 1920</t>
  </si>
  <si>
    <t>1920 &lt; Year</t>
  </si>
  <si>
    <t>Year &lt;= 1941</t>
  </si>
  <si>
    <t>1941 &lt; Year</t>
  </si>
  <si>
    <t>Min value</t>
  </si>
  <si>
    <t>Location</t>
  </si>
  <si>
    <t>Cell</t>
  </si>
  <si>
    <t>Star name</t>
  </si>
  <si>
    <t>Year &lt;= 1961</t>
  </si>
  <si>
    <t>1961 &lt; Year</t>
  </si>
  <si>
    <t>Year &lt;= 1986</t>
  </si>
  <si>
    <t>1986 &lt; Year</t>
  </si>
  <si>
    <t>Year &lt;= 2005</t>
  </si>
  <si>
    <t>2005 &lt; Year</t>
  </si>
  <si>
    <t>Year &lt;= 2050</t>
  </si>
  <si>
    <t>2050 &lt; Year</t>
  </si>
  <si>
    <t>Year &lt;= 2150</t>
  </si>
  <si>
    <t>T0</t>
  </si>
  <si>
    <t>##########</t>
  </si>
  <si>
    <t>Latitude</t>
  </si>
  <si>
    <t>Longitude</t>
  </si>
  <si>
    <t>Altitude</t>
  </si>
  <si>
    <t>Azimuth</t>
  </si>
  <si>
    <t>Lat (rad)</t>
  </si>
  <si>
    <t>Lon (rad)</t>
  </si>
  <si>
    <t>Dec (rad)</t>
  </si>
  <si>
    <t>GHA (rad)</t>
  </si>
  <si>
    <t>LHA (rad)</t>
  </si>
  <si>
    <t>Sin(Hc)</t>
  </si>
  <si>
    <t>Cos(Z)</t>
  </si>
  <si>
    <t>Zn (deg)</t>
  </si>
  <si>
    <t>LHA (deg)</t>
  </si>
  <si>
    <t>LHA (deg aux)</t>
  </si>
  <si>
    <t>Hc (rad)</t>
  </si>
  <si>
    <t>Z (deg)</t>
  </si>
  <si>
    <t>Hc (deg)</t>
  </si>
  <si>
    <t>H diff</t>
  </si>
  <si>
    <t>Z diff</t>
  </si>
  <si>
    <t>Precession</t>
  </si>
  <si>
    <t>Zeta Deg</t>
  </si>
  <si>
    <t>Zeta Rad</t>
  </si>
  <si>
    <t>Z Deg</t>
  </si>
  <si>
    <t>Theta Deg</t>
  </si>
  <si>
    <t>Theta Rad</t>
  </si>
  <si>
    <t>Sun longitude</t>
  </si>
  <si>
    <t>L0</t>
  </si>
  <si>
    <t>M Rad</t>
  </si>
  <si>
    <t>M Deg</t>
  </si>
  <si>
    <t>c1</t>
  </si>
  <si>
    <t>c2</t>
  </si>
  <si>
    <t>c3</t>
  </si>
  <si>
    <t>C</t>
  </si>
  <si>
    <t>L Sun</t>
  </si>
  <si>
    <t>L Sun Deg</t>
  </si>
  <si>
    <t>L Sun Rad</t>
  </si>
  <si>
    <t>Aberration</t>
  </si>
  <si>
    <t>exc</t>
  </si>
  <si>
    <t>p</t>
  </si>
  <si>
    <t>p Deg</t>
  </si>
  <si>
    <t>p Rad</t>
  </si>
  <si>
    <t>epoch</t>
  </si>
  <si>
    <t>J2000.0</t>
  </si>
  <si>
    <t>Right Asc</t>
  </si>
  <si>
    <t>equinox</t>
  </si>
  <si>
    <t>mu_Rasc</t>
  </si>
  <si>
    <t>mu_Dec</t>
  </si>
  <si>
    <t>Proper</t>
  </si>
  <si>
    <t>motion</t>
  </si>
  <si>
    <t>RA_w_mu</t>
  </si>
  <si>
    <t>Dec_w_mu</t>
  </si>
  <si>
    <t>reference</t>
  </si>
  <si>
    <t>precession</t>
  </si>
  <si>
    <t>a, b, c</t>
  </si>
  <si>
    <t>Epoch</t>
  </si>
  <si>
    <t>Equinox</t>
  </si>
  <si>
    <t>current</t>
  </si>
  <si>
    <t>RA Rad</t>
  </si>
  <si>
    <t>Dec Rad</t>
  </si>
  <si>
    <t>nutation</t>
  </si>
  <si>
    <t>d RA Rad</t>
  </si>
  <si>
    <t>d Dec Rad</t>
  </si>
  <si>
    <t>NutEPS Rad</t>
  </si>
  <si>
    <t>aberration</t>
  </si>
  <si>
    <t>ap, an</t>
  </si>
  <si>
    <t>dp, dn</t>
  </si>
  <si>
    <t>kappa Rad</t>
  </si>
  <si>
    <t>final</t>
  </si>
  <si>
    <t>coordinates</t>
  </si>
  <si>
    <t>SHA</t>
  </si>
  <si>
    <t>Year</t>
  </si>
  <si>
    <t>Month</t>
  </si>
  <si>
    <t>Day</t>
  </si>
  <si>
    <t>Hours</t>
  </si>
  <si>
    <t>Minutes</t>
  </si>
  <si>
    <t>Seconds</t>
  </si>
  <si>
    <t>GHA</t>
  </si>
  <si>
    <t>Degrees</t>
  </si>
  <si>
    <t>Declination</t>
  </si>
  <si>
    <t>#########</t>
  </si>
  <si>
    <t>Day Fraction</t>
  </si>
  <si>
    <t>a</t>
  </si>
  <si>
    <t>b</t>
  </si>
  <si>
    <t>JDE</t>
  </si>
  <si>
    <t>JD</t>
  </si>
  <si>
    <t>Delta T</t>
  </si>
  <si>
    <t>DayF+DeltaT</t>
  </si>
  <si>
    <t>TAU</t>
  </si>
  <si>
    <t>T</t>
  </si>
  <si>
    <t>l0</t>
  </si>
  <si>
    <t>lp</t>
  </si>
  <si>
    <t>om</t>
  </si>
  <si>
    <t>dp</t>
  </si>
  <si>
    <t>NutPSI Deg</t>
  </si>
  <si>
    <t>NutPSI Rad</t>
  </si>
  <si>
    <t>de</t>
  </si>
  <si>
    <t>NutEPS Deg</t>
  </si>
  <si>
    <t>Eps0 Rad</t>
  </si>
  <si>
    <t>Eps Rad</t>
  </si>
  <si>
    <t>Deps</t>
  </si>
  <si>
    <t>g</t>
  </si>
  <si>
    <t>GAST Deg</t>
  </si>
  <si>
    <t>GHA Aries</t>
  </si>
  <si>
    <t>Acamar</t>
  </si>
  <si>
    <t>SHA =</t>
  </si>
  <si>
    <t>Achernar</t>
  </si>
  <si>
    <t>Acrux</t>
  </si>
  <si>
    <t>Adhara</t>
  </si>
  <si>
    <t>Aldebaran</t>
  </si>
  <si>
    <t>Alioth</t>
  </si>
  <si>
    <t>Alkaid</t>
  </si>
  <si>
    <t>Al Na'ir</t>
  </si>
  <si>
    <t>Alnilam</t>
  </si>
  <si>
    <t>Alphard</t>
  </si>
  <si>
    <t>Alphecca</t>
  </si>
  <si>
    <t>Alpheratz</t>
  </si>
  <si>
    <t>Altair</t>
  </si>
  <si>
    <t>Ankaa</t>
  </si>
  <si>
    <t>Antares</t>
  </si>
  <si>
    <t>Arcturus</t>
  </si>
  <si>
    <t>Atria</t>
  </si>
  <si>
    <t>Avior</t>
  </si>
  <si>
    <t>Bellatrix</t>
  </si>
  <si>
    <t>Betelgeuse</t>
  </si>
  <si>
    <t>Star</t>
  </si>
  <si>
    <t>Canopus</t>
  </si>
  <si>
    <t>Capella</t>
  </si>
  <si>
    <t>Deneb</t>
  </si>
  <si>
    <t>Denebola</t>
  </si>
  <si>
    <t>Diphda</t>
  </si>
  <si>
    <t>Dubhe</t>
  </si>
  <si>
    <t>Elnath</t>
  </si>
  <si>
    <t>Eltanin</t>
  </si>
  <si>
    <t>Enif</t>
  </si>
  <si>
    <t>Fomalhaut</t>
  </si>
  <si>
    <t>Gacrux</t>
  </si>
  <si>
    <t>Gienah</t>
  </si>
  <si>
    <t>Hadar</t>
  </si>
  <si>
    <t>Hamal</t>
  </si>
  <si>
    <t>Kaus Aust.</t>
  </si>
  <si>
    <t>SHA (+0.9')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</si>
</sst>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"/>
    <numFmt numFmtId="166" formatCode="00.0"/>
    <numFmt numFmtId="167" formatCode="#\ ???/???"/>
    <numFmt numFmtId="168" formatCode="0.00000000000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166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left"/>
    </xf>
    <xf numFmtId="11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2" fillId="33" borderId="10" xfId="0" applyNumberFormat="1" applyFont="1" applyFill="1" applyBorder="1" applyAlignment="1" applyProtection="1">
      <alignment horizontal="left"/>
      <protection locked="0"/>
    </xf>
    <xf numFmtId="165" fontId="2" fillId="33" borderId="10" xfId="0" applyNumberFormat="1" applyFont="1" applyFill="1" applyBorder="1" applyAlignment="1" applyProtection="1">
      <alignment horizontal="left"/>
      <protection locked="0"/>
    </xf>
    <xf numFmtId="167" fontId="0" fillId="33" borderId="10" xfId="0" applyNumberFormat="1" applyFill="1" applyBorder="1" applyAlignment="1" applyProtection="1">
      <alignment horizontal="left"/>
      <protection locked="0"/>
    </xf>
    <xf numFmtId="166" fontId="0" fillId="34" borderId="10" xfId="0" applyNumberFormat="1" applyFill="1" applyBorder="1" applyAlignment="1">
      <alignment horizontal="left"/>
    </xf>
    <xf numFmtId="164" fontId="0" fillId="33" borderId="10" xfId="0" applyNumberFormat="1" applyFill="1" applyBorder="1" applyAlignment="1" applyProtection="1">
      <alignment horizontal="left"/>
      <protection locked="0"/>
    </xf>
    <xf numFmtId="0" fontId="0" fillId="35" borderId="10" xfId="0" applyFill="1" applyBorder="1" applyAlignment="1">
      <alignment horizontal="left"/>
    </xf>
    <xf numFmtId="2" fontId="0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94"/>
  <sheetViews>
    <sheetView tabSelected="1" zoomScale="150" zoomScaleNormal="150" workbookViewId="0" topLeftCell="A1">
      <selection activeCell="H95" sqref="H95"/>
    </sheetView>
  </sheetViews>
  <sheetFormatPr defaultColWidth="11.00390625" defaultRowHeight="12.75"/>
  <cols>
    <col min="1" max="1" width="12.00390625" style="0" customWidth="1"/>
    <col min="2" max="2" width="12.00390625" style="0" bestFit="1" customWidth="1"/>
    <col min="20" max="20" width="12.00390625" style="0" bestFit="1" customWidth="1"/>
    <col min="36" max="36" width="11.125" style="0" bestFit="1" customWidth="1"/>
    <col min="38" max="38" width="10.75390625" style="6" customWidth="1"/>
  </cols>
  <sheetData>
    <row r="1" spans="1:37" ht="12.75">
      <c r="A1" s="1" t="s">
        <v>131</v>
      </c>
      <c r="B1" s="1" t="s">
        <v>132</v>
      </c>
      <c r="C1" s="1" t="s">
        <v>133</v>
      </c>
      <c r="D1" s="1" t="s">
        <v>134</v>
      </c>
      <c r="E1" s="1" t="s">
        <v>135</v>
      </c>
      <c r="F1" s="1" t="s">
        <v>136</v>
      </c>
      <c r="J1" t="s">
        <v>65</v>
      </c>
      <c r="K1" t="s">
        <v>66</v>
      </c>
      <c r="AJ1" t="s">
        <v>46</v>
      </c>
      <c r="AK1">
        <f>MIN(AL:AL)</f>
        <v>0.0005147749871142882</v>
      </c>
    </row>
    <row r="2" spans="1:37" ht="12.75">
      <c r="A2" s="35">
        <v>2011</v>
      </c>
      <c r="B2" s="36">
        <v>1</v>
      </c>
      <c r="C2" s="36">
        <v>1</v>
      </c>
      <c r="D2" s="36">
        <v>12</v>
      </c>
      <c r="E2" s="36">
        <v>0</v>
      </c>
      <c r="F2" s="36">
        <v>0</v>
      </c>
      <c r="J2">
        <f>RADIANS(A5)</f>
        <v>-0.5235987755982988</v>
      </c>
      <c r="K2">
        <f>RADIANS(B5)</f>
        <v>-2.0943951023931953</v>
      </c>
      <c r="AJ2" t="s">
        <v>47</v>
      </c>
      <c r="AK2">
        <f>MATCH(AK1,AL:AL,0)</f>
        <v>345</v>
      </c>
    </row>
    <row r="3" spans="36:37" ht="12.75">
      <c r="AJ3" t="s">
        <v>48</v>
      </c>
      <c r="AK3" t="str">
        <f>ADDRESS(AK2,1)</f>
        <v>$A$345</v>
      </c>
    </row>
    <row r="4" spans="1:37" ht="12.75">
      <c r="A4" s="1" t="s">
        <v>61</v>
      </c>
      <c r="B4" s="1" t="s">
        <v>62</v>
      </c>
      <c r="C4" s="1" t="s">
        <v>63</v>
      </c>
      <c r="D4" s="1" t="s">
        <v>64</v>
      </c>
      <c r="E4" s="2" t="s">
        <v>185</v>
      </c>
      <c r="AJ4" t="s">
        <v>49</v>
      </c>
      <c r="AK4" t="str">
        <f ca="1">INDIRECT(AK3)</f>
        <v>Suhail</v>
      </c>
    </row>
    <row r="5" spans="1:5" ht="12.75">
      <c r="A5" s="37">
        <v>-30</v>
      </c>
      <c r="B5" s="37">
        <v>-120</v>
      </c>
      <c r="C5" s="37">
        <v>66.85666666666667</v>
      </c>
      <c r="D5" s="39">
        <v>227.9</v>
      </c>
      <c r="E5" s="40" t="str">
        <f>AK4</f>
        <v>Suhail</v>
      </c>
    </row>
    <row r="6" spans="1:3" ht="12.75">
      <c r="A6" s="38">
        <f>ABS(A5-TRUNC(A5))*60</f>
        <v>0</v>
      </c>
      <c r="B6" s="38">
        <f>ABS(B5-TRUNC(B5))*60</f>
        <v>0</v>
      </c>
      <c r="C6" s="38">
        <f>ABS(C5-TRUNC(C5))*60</f>
        <v>51.40000000000015</v>
      </c>
    </row>
    <row r="7" ht="12.75">
      <c r="J7" t="s">
        <v>146</v>
      </c>
    </row>
    <row r="8" spans="1:6" ht="12.75">
      <c r="A8" s="3" t="s">
        <v>140</v>
      </c>
      <c r="B8" s="3" t="s">
        <v>140</v>
      </c>
      <c r="C8" s="3" t="s">
        <v>140</v>
      </c>
      <c r="D8" s="3" t="s">
        <v>140</v>
      </c>
      <c r="E8" s="3" t="s">
        <v>140</v>
      </c>
      <c r="F8" s="3" t="s">
        <v>140</v>
      </c>
    </row>
    <row r="9" spans="10:11" ht="12.75">
      <c r="J9" t="s">
        <v>23</v>
      </c>
      <c r="K9">
        <f>A2+(B2-0.5)/12</f>
        <v>2011.0416666666667</v>
      </c>
    </row>
    <row r="10" spans="1:38" s="8" customFormat="1" ht="12.75">
      <c r="A10" s="7" t="s">
        <v>163</v>
      </c>
      <c r="B10" s="7" t="s">
        <v>138</v>
      </c>
      <c r="C10" s="7" t="s">
        <v>135</v>
      </c>
      <c r="AL10" s="9"/>
    </row>
    <row r="11" spans="1:38" s="13" customFormat="1" ht="12.75">
      <c r="A11" s="10">
        <f>$C$376</f>
        <v>280.7961908930447</v>
      </c>
      <c r="B11" s="11">
        <f>TRUNC(A11)</f>
        <v>280</v>
      </c>
      <c r="C11" s="12">
        <f>60*ABS(A11-B11)</f>
        <v>47.771453582681715</v>
      </c>
      <c r="D11" s="8"/>
      <c r="E11" s="8"/>
      <c r="F11" s="8"/>
      <c r="J11" s="14" t="s">
        <v>24</v>
      </c>
      <c r="K11" s="14" t="s">
        <v>25</v>
      </c>
      <c r="L11" s="15" t="b">
        <f>OR(A2&lt;=-500,A2&gt;2150)</f>
        <v>0</v>
      </c>
      <c r="AL11" s="9"/>
    </row>
    <row r="12" spans="10:38" s="8" customFormat="1" ht="12.75">
      <c r="J12" s="8" t="s">
        <v>26</v>
      </c>
      <c r="K12" s="8">
        <f>(A2-1820)/100</f>
        <v>1.91</v>
      </c>
      <c r="AL12" s="9"/>
    </row>
    <row r="13" spans="1:38" s="8" customFormat="1" ht="12.75">
      <c r="A13" s="16" t="s">
        <v>140</v>
      </c>
      <c r="B13" s="16" t="s">
        <v>140</v>
      </c>
      <c r="C13" s="16" t="s">
        <v>140</v>
      </c>
      <c r="D13" s="16" t="s">
        <v>140</v>
      </c>
      <c r="E13" s="16" t="s">
        <v>140</v>
      </c>
      <c r="F13" s="16" t="s">
        <v>140</v>
      </c>
      <c r="J13" s="8" t="s">
        <v>27</v>
      </c>
      <c r="K13" s="8">
        <f>-20+32*K12*K12</f>
        <v>96.7392</v>
      </c>
      <c r="L13" s="8">
        <f>K13*L11</f>
        <v>0</v>
      </c>
      <c r="AL13" s="9"/>
    </row>
    <row r="14" spans="1:38" s="8" customFormat="1" ht="12.75">
      <c r="A14" s="16"/>
      <c r="B14" s="16"/>
      <c r="C14" s="16"/>
      <c r="D14" s="16"/>
      <c r="E14" s="16"/>
      <c r="F14" s="16"/>
      <c r="AL14" s="9"/>
    </row>
    <row r="15" spans="1:38" s="8" customFormat="1" ht="12.75">
      <c r="A15"/>
      <c r="B15"/>
      <c r="C15"/>
      <c r="D15"/>
      <c r="E15"/>
      <c r="F15"/>
      <c r="J15" s="19" t="s">
        <v>28</v>
      </c>
      <c r="K15" s="8" t="s">
        <v>29</v>
      </c>
      <c r="L15" s="8" t="b">
        <f>AND(-500&lt;A2,A2&lt;=500)</f>
        <v>0</v>
      </c>
      <c r="AL15" s="9"/>
    </row>
    <row r="16" spans="1:38" s="8" customFormat="1" ht="12.75">
      <c r="A16"/>
      <c r="B16"/>
      <c r="C16"/>
      <c r="D16"/>
      <c r="E16"/>
      <c r="F16"/>
      <c r="J16" s="14" t="s">
        <v>26</v>
      </c>
      <c r="K16" s="15">
        <f>K9/100</f>
        <v>20.110416666666666</v>
      </c>
      <c r="L16" s="15"/>
      <c r="AL16" s="9"/>
    </row>
    <row r="17" spans="1:38" s="20" customFormat="1" ht="12.75">
      <c r="A17"/>
      <c r="B17"/>
      <c r="C17"/>
      <c r="D17"/>
      <c r="E17"/>
      <c r="F17"/>
      <c r="J17" s="8" t="s">
        <v>27</v>
      </c>
      <c r="K17" s="8">
        <f>10583.6+K16*(-1014.41+K16*(33.78311+K16*(-5.952053+K16*(-0.1798452+K16*(0.022174192+0.0090316521*K16)))))</f>
        <v>596397.7991491848</v>
      </c>
      <c r="L17" s="8">
        <f>K17*L15</f>
        <v>0</v>
      </c>
      <c r="M17" s="20" t="s">
        <v>115</v>
      </c>
      <c r="N17" s="20" t="s">
        <v>103</v>
      </c>
      <c r="O17" s="20" t="s">
        <v>108</v>
      </c>
      <c r="P17" s="20" t="s">
        <v>109</v>
      </c>
      <c r="V17" s="20" t="s">
        <v>127</v>
      </c>
      <c r="AL17" s="9"/>
    </row>
    <row r="18" spans="1:38" s="8" customFormat="1" ht="12.75">
      <c r="A18" s="16"/>
      <c r="B18" s="16"/>
      <c r="C18" s="16"/>
      <c r="D18" s="16"/>
      <c r="E18" s="16"/>
      <c r="F18" s="16"/>
      <c r="M18" s="8" t="s">
        <v>116</v>
      </c>
      <c r="N18" s="8" t="s">
        <v>103</v>
      </c>
      <c r="O18" s="8" t="s">
        <v>112</v>
      </c>
      <c r="P18" s="8" t="s">
        <v>105</v>
      </c>
      <c r="Q18" s="8" t="s">
        <v>113</v>
      </c>
      <c r="R18" s="8" t="s">
        <v>117</v>
      </c>
      <c r="S18" s="8" t="s">
        <v>102</v>
      </c>
      <c r="T18" s="8" t="s">
        <v>120</v>
      </c>
      <c r="U18" s="8" t="s">
        <v>124</v>
      </c>
      <c r="V18" s="22">
        <v>9.93650849745E-05</v>
      </c>
      <c r="W18" s="8" t="s">
        <v>128</v>
      </c>
      <c r="X18" s="8" t="s">
        <v>129</v>
      </c>
      <c r="AL18" s="9"/>
    </row>
    <row r="19" spans="1:44" s="8" customFormat="1" ht="12.75">
      <c r="A19" s="16" t="s">
        <v>140</v>
      </c>
      <c r="B19" s="16" t="s">
        <v>140</v>
      </c>
      <c r="C19" s="16" t="s">
        <v>140</v>
      </c>
      <c r="D19" s="16" t="s">
        <v>140</v>
      </c>
      <c r="E19" s="16" t="s">
        <v>140</v>
      </c>
      <c r="F19" s="16" t="s">
        <v>140</v>
      </c>
      <c r="J19" s="8" t="s">
        <v>30</v>
      </c>
      <c r="K19" s="8" t="s">
        <v>31</v>
      </c>
      <c r="L19" s="8" t="b">
        <f>AND(500&lt;A2,A2&lt;=1600)</f>
        <v>0</v>
      </c>
      <c r="M19" s="16" t="s">
        <v>140</v>
      </c>
      <c r="N19" s="16" t="s">
        <v>164</v>
      </c>
      <c r="O19" s="16" t="s">
        <v>140</v>
      </c>
      <c r="P19" s="16" t="s">
        <v>140</v>
      </c>
      <c r="Q19" s="16" t="s">
        <v>140</v>
      </c>
      <c r="R19" s="16" t="s">
        <v>140</v>
      </c>
      <c r="S19" s="16" t="s">
        <v>140</v>
      </c>
      <c r="T19" s="16" t="s">
        <v>164</v>
      </c>
      <c r="U19" s="16" t="s">
        <v>140</v>
      </c>
      <c r="V19" s="16" t="s">
        <v>140</v>
      </c>
      <c r="W19" s="16" t="s">
        <v>140</v>
      </c>
      <c r="X19" s="16" t="s">
        <v>140</v>
      </c>
      <c r="Y19" s="16" t="s">
        <v>140</v>
      </c>
      <c r="Z19" s="16" t="s">
        <v>164</v>
      </c>
      <c r="AA19" s="16" t="s">
        <v>140</v>
      </c>
      <c r="AB19" s="16" t="s">
        <v>140</v>
      </c>
      <c r="AC19" s="16" t="s">
        <v>140</v>
      </c>
      <c r="AD19" s="16" t="s">
        <v>140</v>
      </c>
      <c r="AE19" s="16" t="s">
        <v>140</v>
      </c>
      <c r="AF19" s="16" t="s">
        <v>164</v>
      </c>
      <c r="AG19" s="16" t="s">
        <v>140</v>
      </c>
      <c r="AH19" s="16" t="s">
        <v>140</v>
      </c>
      <c r="AI19" s="16" t="s">
        <v>140</v>
      </c>
      <c r="AJ19" s="16" t="s">
        <v>140</v>
      </c>
      <c r="AK19" s="16" t="s">
        <v>140</v>
      </c>
      <c r="AL19" s="9"/>
      <c r="AM19" s="16"/>
      <c r="AN19" s="16"/>
      <c r="AO19" s="16"/>
      <c r="AP19" s="16"/>
      <c r="AQ19" s="16"/>
      <c r="AR19" s="16"/>
    </row>
    <row r="20" spans="1:38" s="8" customFormat="1" ht="12.75">
      <c r="A20" s="16"/>
      <c r="B20" s="16"/>
      <c r="C20" s="16"/>
      <c r="D20" s="16"/>
      <c r="E20" s="16"/>
      <c r="F20" s="16"/>
      <c r="J20" s="8" t="s">
        <v>26</v>
      </c>
      <c r="K20" s="8">
        <f>(K9-1000)/100</f>
        <v>10.110416666666667</v>
      </c>
      <c r="M20" s="23" t="s">
        <v>104</v>
      </c>
      <c r="N20" s="23" t="s">
        <v>139</v>
      </c>
      <c r="O20" s="23" t="s">
        <v>106</v>
      </c>
      <c r="P20" s="23" t="s">
        <v>107</v>
      </c>
      <c r="Q20" s="8" t="s">
        <v>114</v>
      </c>
      <c r="R20" s="8" t="s">
        <v>104</v>
      </c>
      <c r="S20" s="8" t="s">
        <v>118</v>
      </c>
      <c r="T20" s="8" t="s">
        <v>121</v>
      </c>
      <c r="U20" s="8" t="s">
        <v>125</v>
      </c>
      <c r="V20" s="8" t="s">
        <v>126</v>
      </c>
      <c r="W20" s="8" t="s">
        <v>104</v>
      </c>
      <c r="X20" s="8" t="s">
        <v>139</v>
      </c>
      <c r="Y20" s="8" t="s">
        <v>67</v>
      </c>
      <c r="Z20" s="8" t="s">
        <v>68</v>
      </c>
      <c r="AA20" s="8" t="s">
        <v>69</v>
      </c>
      <c r="AB20" s="8" t="s">
        <v>74</v>
      </c>
      <c r="AC20" s="8" t="s">
        <v>73</v>
      </c>
      <c r="AD20" s="8" t="s">
        <v>70</v>
      </c>
      <c r="AE20" s="24" t="s">
        <v>75</v>
      </c>
      <c r="AF20" s="8" t="s">
        <v>71</v>
      </c>
      <c r="AG20" s="8" t="s">
        <v>72</v>
      </c>
      <c r="AH20" s="25" t="s">
        <v>76</v>
      </c>
      <c r="AI20" s="25" t="s">
        <v>77</v>
      </c>
      <c r="AJ20" s="24" t="s">
        <v>78</v>
      </c>
      <c r="AK20" s="24" t="s">
        <v>79</v>
      </c>
      <c r="AL20" s="9"/>
    </row>
    <row r="21" spans="1:38" s="8" customFormat="1" ht="12.75">
      <c r="A21" s="16" t="s">
        <v>164</v>
      </c>
      <c r="B21" s="26">
        <v>7</v>
      </c>
      <c r="C21" s="27">
        <v>3.2</v>
      </c>
      <c r="D21" s="18" t="s">
        <v>165</v>
      </c>
      <c r="E21" s="17">
        <f>TRUNC(W24)</f>
        <v>315</v>
      </c>
      <c r="F21" s="21">
        <f>ABS(W24-E21)*60</f>
        <v>19.358000969515388</v>
      </c>
      <c r="J21" s="8" t="s">
        <v>27</v>
      </c>
      <c r="K21" s="8">
        <f>1574.2+K20*(-556.01+K20*(71.23472+K20*(0.319781+K20*(-0.8503463+K20*(-0.005050998+0.0083572073*K20)))))</f>
        <v>3072.3244102689177</v>
      </c>
      <c r="L21" s="8">
        <f>K21*L19</f>
        <v>0</v>
      </c>
      <c r="M21" s="23">
        <v>2</v>
      </c>
      <c r="N21" s="23">
        <v>-40</v>
      </c>
      <c r="O21" s="23">
        <v>-0.0446</v>
      </c>
      <c r="P21" s="23">
        <v>0.019</v>
      </c>
      <c r="Q21" s="8">
        <f>COS(P24)*SIN(O24+$B$381)</f>
        <v>0.5358115715537026</v>
      </c>
      <c r="R21" s="8">
        <f>DEGREES(ATAN2(Q22,Q21))+$C$381</f>
        <v>44.66975395908223</v>
      </c>
      <c r="S21" s="8">
        <f>RADIANS(R22)</f>
        <v>0.7796342826417573</v>
      </c>
      <c r="T21" s="8">
        <f>(COS($D$373)+SIN($D$373)*SIN(S21)*TAN(S24))*$A$370-COS(S21)*TAN(S24)*$A$373</f>
        <v>5.755816254752103E-05</v>
      </c>
      <c r="U21" s="8">
        <f>COS(S21)*COS($D$394)*COS($D$373)+SIN(S21)*SIN($D$394)</f>
        <v>0.5364676895382229</v>
      </c>
      <c r="V21" s="8">
        <f>COS($D$394)*COS($D$373)*(TAN($D$373)*COS(S24)-SIN(S21)*SIN(S24))+COS(S21)*SIN(S24)*SIN($D$394)</f>
        <v>-0.6112005984709411</v>
      </c>
      <c r="W21" s="8">
        <f>DEGREES(U24+T21+S21)</f>
        <v>44.67736665050808</v>
      </c>
      <c r="X21" s="8">
        <f>DEGREES(V24+T24+S24)</f>
        <v>-40.2630849260949</v>
      </c>
      <c r="Y21" s="28">
        <f>V24+T24+S24</f>
        <v>-0.7027233989704537</v>
      </c>
      <c r="Z21" s="8">
        <f>RADIANS(A23)</f>
        <v>4.121050908970071</v>
      </c>
      <c r="AA21" s="8">
        <f>Z21+$K$2</f>
        <v>2.026655806576876</v>
      </c>
      <c r="AB21" s="8">
        <f>DEGREES(AA21)</f>
        <v>116.11882424253669</v>
      </c>
      <c r="AC21" s="8">
        <f>AB21-INT(AB21/360)*360</f>
        <v>116.11882424253669</v>
      </c>
      <c r="AD21" s="28">
        <f>SIN(Y21)*SIN($J$2)+COS(Y21)*COS($J$2)*COS(AA21)</f>
        <v>0.032219972797155105</v>
      </c>
      <c r="AE21" s="28">
        <f>ASIN(AD21)</f>
        <v>0.032225550138430106</v>
      </c>
      <c r="AF21" s="28">
        <f>(SIN(Y21)-SIN($J$2)*AD21)/(COS($J$2)*COS(AE21))</f>
        <v>-0.728056751469299</v>
      </c>
      <c r="AG21" s="8">
        <f>DEGREES(ACOS(AF21))</f>
        <v>136.72373110008886</v>
      </c>
      <c r="AH21" s="8">
        <f>IF(AC21&gt;180,AG21,360-AG21)</f>
        <v>223.27626889991114</v>
      </c>
      <c r="AI21" s="8">
        <f>DEGREES(AE21)</f>
        <v>1.846388015419271</v>
      </c>
      <c r="AJ21" s="28">
        <f>$C$5-AI21</f>
        <v>65.0102786512474</v>
      </c>
      <c r="AK21" s="29">
        <f>$D$5-AH21</f>
        <v>4.623731100088861</v>
      </c>
      <c r="AL21" s="9">
        <f>AJ21*AJ21+AK21*AK21</f>
        <v>4247.715219598764</v>
      </c>
    </row>
    <row r="22" spans="1:38" s="8" customFormat="1" ht="12.75">
      <c r="A22" s="16" t="s">
        <v>137</v>
      </c>
      <c r="B22" s="16" t="s">
        <v>138</v>
      </c>
      <c r="C22" s="16" t="s">
        <v>135</v>
      </c>
      <c r="D22" s="16" t="s">
        <v>139</v>
      </c>
      <c r="E22" s="16" t="s">
        <v>138</v>
      </c>
      <c r="F22" s="16" t="s">
        <v>135</v>
      </c>
      <c r="M22" s="23">
        <v>58</v>
      </c>
      <c r="N22" s="23">
        <v>-18</v>
      </c>
      <c r="O22" s="8" t="s">
        <v>110</v>
      </c>
      <c r="P22" s="8" t="s">
        <v>111</v>
      </c>
      <c r="Q22" s="8">
        <f>COS($F$381)*COS(P24)*COS(O24+$B$381)-SIN($F$381)*SIN(P24)</f>
        <v>0.5433593258298928</v>
      </c>
      <c r="R22" s="8">
        <f>R21-360*INT(R21/360)</f>
        <v>44.66975395908223</v>
      </c>
      <c r="U22" s="8">
        <f>COS(S21)*COS($D$389)*COS($D$373)+SIN(S21)*SIN($D$389)</f>
        <v>-0.5693948794315082</v>
      </c>
      <c r="V22" s="8">
        <f>COS($D$389)*COS($D$373)*(TAN($D$373)*COS(S24)-SIN(S21)*SIN(S24))+COS(S21)*SIN(S24)*SIN($D$389)</f>
        <v>0.5855745270472468</v>
      </c>
      <c r="AL22" s="9"/>
    </row>
    <row r="23" spans="1:38" s="20" customFormat="1" ht="12.75">
      <c r="A23" s="20">
        <f>($C$376+E21+F21/60)-INT(($C$376+E21+F21/60)/360)*360</f>
        <v>236.11882424253668</v>
      </c>
      <c r="B23" s="17">
        <f>TRUNC(A23)</f>
        <v>236</v>
      </c>
      <c r="C23" s="21">
        <f>(A23-B23)*60</f>
        <v>7.129454552200514</v>
      </c>
      <c r="D23" s="9" t="str">
        <f>IF(X21&gt;=0,"N","S")</f>
        <v>S</v>
      </c>
      <c r="E23" s="17">
        <f>ABS(TRUNC(X21))</f>
        <v>40</v>
      </c>
      <c r="F23" s="21">
        <f>ABS(X21-TRUNC(X21))*60</f>
        <v>15.785095565693865</v>
      </c>
      <c r="J23" s="8" t="s">
        <v>32</v>
      </c>
      <c r="K23" s="8" t="s">
        <v>33</v>
      </c>
      <c r="L23" s="8" t="b">
        <f>AND(1600&lt;A2,A2&lt;=1700)</f>
        <v>0</v>
      </c>
      <c r="M23" s="30">
        <v>15.696</v>
      </c>
      <c r="N23" s="30">
        <v>-16.97</v>
      </c>
      <c r="O23" s="31">
        <f>M24+O21/3600*$A$367</f>
        <v>44.56526371371613</v>
      </c>
      <c r="P23" s="31">
        <f>N24+P21/3600*$A$367</f>
        <v>-40.30465582970965</v>
      </c>
      <c r="Q23" s="31">
        <f>SIN($F$381)*COS(P24)*COS(O24+$B$381)+COS($F$381)*SIN(P24)</f>
        <v>-0.6462713074420338</v>
      </c>
      <c r="R23" s="31" t="s">
        <v>139</v>
      </c>
      <c r="S23" s="20" t="s">
        <v>119</v>
      </c>
      <c r="T23" s="20" t="s">
        <v>122</v>
      </c>
      <c r="U23" s="20" t="s">
        <v>121</v>
      </c>
      <c r="V23" s="20" t="s">
        <v>122</v>
      </c>
      <c r="W23" s="20" t="s">
        <v>130</v>
      </c>
      <c r="AL23" s="9"/>
    </row>
    <row r="24" spans="1:38" s="8" customFormat="1" ht="12.75">
      <c r="A24" s="16"/>
      <c r="B24" s="16"/>
      <c r="C24" s="16"/>
      <c r="D24" s="16"/>
      <c r="E24" s="16"/>
      <c r="F24" s="16"/>
      <c r="J24" s="8" t="s">
        <v>34</v>
      </c>
      <c r="K24" s="8">
        <f>K9-1600</f>
        <v>411.04166666666674</v>
      </c>
      <c r="M24" s="24">
        <f>(M21+M22/60+M23/3600)*15</f>
        <v>44.565400000000004</v>
      </c>
      <c r="N24" s="24">
        <f>N21+N22/60+N23/3600</f>
        <v>-40.304713888888884</v>
      </c>
      <c r="O24" s="8">
        <f>RADIANS(O23)</f>
        <v>0.7778105838239021</v>
      </c>
      <c r="P24" s="8">
        <f>RADIANS(P23)</f>
        <v>-0.7034489481115604</v>
      </c>
      <c r="R24" s="8">
        <f>DEGREES(ASIN(Q23))</f>
        <v>-40.261060785930106</v>
      </c>
      <c r="S24" s="8">
        <f>RADIANS(R24)</f>
        <v>-0.7026880710600563</v>
      </c>
      <c r="T24" s="8">
        <f>SIN($D$373)*COS(S21)*$A$370+SIN(S21)*$A$373</f>
        <v>2.3872220051957983E-05</v>
      </c>
      <c r="U24" s="22">
        <f>($A$394*U21-U22)*$V$18/COS(S24)</f>
        <v>7.530836777186817E-05</v>
      </c>
      <c r="V24" s="22">
        <f>($A$394*V21-V22)*$V$18</f>
        <v>-5.920013044941103E-05</v>
      </c>
      <c r="W24" s="8">
        <f>360-W21</f>
        <v>315.3226333494919</v>
      </c>
      <c r="AL24" s="9"/>
    </row>
    <row r="25" spans="1:38" s="8" customFormat="1" ht="12.75">
      <c r="A25" s="16" t="s">
        <v>140</v>
      </c>
      <c r="B25" s="16" t="s">
        <v>140</v>
      </c>
      <c r="C25" s="16" t="s">
        <v>140</v>
      </c>
      <c r="D25" s="16" t="s">
        <v>140</v>
      </c>
      <c r="E25" s="16" t="s">
        <v>140</v>
      </c>
      <c r="F25" s="16" t="s">
        <v>140</v>
      </c>
      <c r="J25" s="8" t="s">
        <v>27</v>
      </c>
      <c r="K25" s="8">
        <f>120+K24*(-0.9808+K24*(-0.01532+K24/7129))</f>
        <v>6870.025278573308</v>
      </c>
      <c r="L25" s="8">
        <f>K25*L23</f>
        <v>0</v>
      </c>
      <c r="M25" s="16" t="s">
        <v>140</v>
      </c>
      <c r="N25" s="16" t="s">
        <v>166</v>
      </c>
      <c r="O25" s="16" t="s">
        <v>140</v>
      </c>
      <c r="P25" s="16" t="s">
        <v>140</v>
      </c>
      <c r="Q25" s="16" t="s">
        <v>140</v>
      </c>
      <c r="R25" s="16" t="s">
        <v>140</v>
      </c>
      <c r="S25" s="16" t="s">
        <v>140</v>
      </c>
      <c r="T25" s="16" t="s">
        <v>166</v>
      </c>
      <c r="U25" s="16" t="s">
        <v>140</v>
      </c>
      <c r="V25" s="16" t="s">
        <v>140</v>
      </c>
      <c r="W25" s="16" t="s">
        <v>140</v>
      </c>
      <c r="X25" s="16" t="s">
        <v>140</v>
      </c>
      <c r="Y25" s="16" t="s">
        <v>140</v>
      </c>
      <c r="Z25" s="16" t="s">
        <v>166</v>
      </c>
      <c r="AA25" s="16" t="s">
        <v>140</v>
      </c>
      <c r="AB25" s="16" t="s">
        <v>140</v>
      </c>
      <c r="AC25" s="16" t="s">
        <v>140</v>
      </c>
      <c r="AD25" s="16" t="s">
        <v>140</v>
      </c>
      <c r="AE25" s="16" t="s">
        <v>140</v>
      </c>
      <c r="AF25" s="16" t="s">
        <v>166</v>
      </c>
      <c r="AG25" s="16" t="s">
        <v>140</v>
      </c>
      <c r="AH25" s="16" t="s">
        <v>140</v>
      </c>
      <c r="AI25" s="16" t="s">
        <v>140</v>
      </c>
      <c r="AJ25" s="16" t="s">
        <v>140</v>
      </c>
      <c r="AK25" s="16" t="s">
        <v>140</v>
      </c>
      <c r="AL25" s="9"/>
    </row>
    <row r="26" spans="1:38" s="8" customFormat="1" ht="12.75">
      <c r="A26" s="16"/>
      <c r="B26" s="16"/>
      <c r="C26" s="16"/>
      <c r="D26" s="16"/>
      <c r="E26" s="16"/>
      <c r="F26" s="16"/>
      <c r="M26" s="23" t="s">
        <v>104</v>
      </c>
      <c r="N26" s="23" t="s">
        <v>139</v>
      </c>
      <c r="O26" s="23" t="s">
        <v>106</v>
      </c>
      <c r="P26" s="23" t="s">
        <v>107</v>
      </c>
      <c r="Q26" s="8" t="s">
        <v>114</v>
      </c>
      <c r="R26" s="8" t="s">
        <v>104</v>
      </c>
      <c r="S26" s="8" t="s">
        <v>118</v>
      </c>
      <c r="T26" s="8" t="s">
        <v>121</v>
      </c>
      <c r="U26" s="8" t="s">
        <v>125</v>
      </c>
      <c r="V26" s="8" t="s">
        <v>126</v>
      </c>
      <c r="W26" s="8" t="s">
        <v>104</v>
      </c>
      <c r="X26" s="8" t="s">
        <v>139</v>
      </c>
      <c r="Y26" s="8" t="s">
        <v>67</v>
      </c>
      <c r="Z26" s="8" t="s">
        <v>68</v>
      </c>
      <c r="AA26" s="8" t="s">
        <v>69</v>
      </c>
      <c r="AB26" s="8" t="s">
        <v>74</v>
      </c>
      <c r="AC26" s="8" t="s">
        <v>73</v>
      </c>
      <c r="AD26" s="8" t="s">
        <v>70</v>
      </c>
      <c r="AE26" s="24" t="s">
        <v>75</v>
      </c>
      <c r="AF26" s="8" t="s">
        <v>71</v>
      </c>
      <c r="AG26" s="8" t="s">
        <v>72</v>
      </c>
      <c r="AH26" s="25" t="s">
        <v>76</v>
      </c>
      <c r="AI26" s="25" t="s">
        <v>77</v>
      </c>
      <c r="AJ26" s="24" t="s">
        <v>78</v>
      </c>
      <c r="AK26" s="24" t="s">
        <v>79</v>
      </c>
      <c r="AL26" s="9"/>
    </row>
    <row r="27" spans="1:38" s="8" customFormat="1" ht="12.75">
      <c r="A27" s="16" t="s">
        <v>166</v>
      </c>
      <c r="B27" s="26">
        <v>5</v>
      </c>
      <c r="C27" s="27">
        <v>0.5</v>
      </c>
      <c r="D27" s="18" t="s">
        <v>165</v>
      </c>
      <c r="E27" s="17">
        <f>TRUNC(W30)</f>
        <v>335</v>
      </c>
      <c r="F27" s="21">
        <f>ABS(W30-E27)*60</f>
        <v>27.825231876279304</v>
      </c>
      <c r="J27" s="8" t="s">
        <v>35</v>
      </c>
      <c r="K27" s="8" t="s">
        <v>36</v>
      </c>
      <c r="L27" s="8" t="b">
        <f>AND(1700&lt;A2,A2&lt;=1800)</f>
        <v>0</v>
      </c>
      <c r="M27" s="23">
        <v>1</v>
      </c>
      <c r="N27" s="23">
        <v>-57</v>
      </c>
      <c r="O27" s="23">
        <v>0.08802</v>
      </c>
      <c r="P27" s="23">
        <v>-0.04008</v>
      </c>
      <c r="Q27" s="8">
        <f>COS(P30)*SIN(O30+$B$381)</f>
        <v>0.22441204878145876</v>
      </c>
      <c r="R27" s="8">
        <f>DEGREES(ATAN2(Q28,Q27))+$C$381</f>
        <v>24.530354470299525</v>
      </c>
      <c r="S27" s="8">
        <f>RADIANS(R28)</f>
        <v>0.4281354521880363</v>
      </c>
      <c r="T27" s="8">
        <f>(COS($D$373)+SIN($D$373)*SIN(S27)*TAN(S30))*$A$370-COS(S27)*TAN(S30)*$A$373</f>
        <v>5.584452920209025E-05</v>
      </c>
      <c r="U27" s="8">
        <f>COS(S27)*COS($D$394)*COS($D$373)+SIN(S27)*SIN($D$394)</f>
        <v>0.2147696255426542</v>
      </c>
      <c r="V27" s="8">
        <f>COS($D$394)*COS($D$373)*(TAN($D$373)*COS(S30)-SIN(S27)*SIN(S30))+COS(S27)*SIN(S30)*SIN($D$394)</f>
        <v>-0.8662173635838233</v>
      </c>
      <c r="W27" s="8">
        <f>DEGREES(U30+T27+S27)</f>
        <v>24.536246135395327</v>
      </c>
      <c r="X27" s="8">
        <f>DEGREES(V30+T30+S30)</f>
        <v>-57.18431472364666</v>
      </c>
      <c r="Y27" s="28">
        <f>V30+T30+S30</f>
        <v>-0.9980545724243054</v>
      </c>
      <c r="Z27" s="8">
        <f>RADIANS(A29)</f>
        <v>4.472579776999764</v>
      </c>
      <c r="AA27" s="8">
        <f>Z27+$K$2</f>
        <v>2.3781846746065685</v>
      </c>
      <c r="AB27" s="8">
        <f>DEGREES(AA27)</f>
        <v>136.25994475764938</v>
      </c>
      <c r="AC27" s="8">
        <f>AB27-INT(AB27/360)*360</f>
        <v>136.25994475764938</v>
      </c>
      <c r="AD27" s="28">
        <f>SIN(Y27)*SIN($J$2)+COS(Y27)*COS($J$2)*COS(AA27)</f>
        <v>0.08112404338809204</v>
      </c>
      <c r="AE27" s="28">
        <f>ASIN(AD27)</f>
        <v>0.08121328899018361</v>
      </c>
      <c r="AF27" s="28">
        <f>(SIN(Y27)-SIN($J$2)*AD27)/(COS($J$2)*COS(AE27))</f>
        <v>-0.9266486672305182</v>
      </c>
      <c r="AG27" s="8">
        <f>DEGREES(ACOS(AF27))</f>
        <v>157.91828771199846</v>
      </c>
      <c r="AH27" s="8">
        <f>IF(AC27&gt;180,AG27,360-AG27)</f>
        <v>202.08171228800154</v>
      </c>
      <c r="AI27" s="8">
        <f>DEGREES(AE27)</f>
        <v>4.653178699513797</v>
      </c>
      <c r="AJ27" s="28">
        <f>$C$5-AI27</f>
        <v>62.203487967152874</v>
      </c>
      <c r="AK27" s="29">
        <f>$D$5-AH27</f>
        <v>25.818287711998465</v>
      </c>
      <c r="AL27" s="9">
        <f>AJ27*AJ27+AK27*AK27</f>
        <v>4535.857895659264</v>
      </c>
    </row>
    <row r="28" spans="1:38" s="8" customFormat="1" ht="12.75">
      <c r="A28" s="16" t="s">
        <v>137</v>
      </c>
      <c r="B28" s="16" t="s">
        <v>138</v>
      </c>
      <c r="C28" s="16" t="s">
        <v>135</v>
      </c>
      <c r="D28" s="16" t="s">
        <v>139</v>
      </c>
      <c r="E28" s="16" t="s">
        <v>138</v>
      </c>
      <c r="F28" s="16" t="s">
        <v>135</v>
      </c>
      <c r="J28" s="8" t="s">
        <v>34</v>
      </c>
      <c r="K28" s="8">
        <f>K9-1700</f>
        <v>311.04166666666674</v>
      </c>
      <c r="M28" s="23">
        <v>37</v>
      </c>
      <c r="N28" s="23">
        <v>-14</v>
      </c>
      <c r="O28" s="8" t="s">
        <v>110</v>
      </c>
      <c r="P28" s="8" t="s">
        <v>111</v>
      </c>
      <c r="Q28" s="8">
        <f>COS($F$381)*COS(P30)*COS(O30+$B$381)-SIN($F$381)*SIN(P30)</f>
        <v>0.4933424930067249</v>
      </c>
      <c r="R28" s="8">
        <f>R27-360*INT(R27/360)</f>
        <v>24.530354470299525</v>
      </c>
      <c r="U28" s="8">
        <f>COS(S27)*COS($D$389)*COS($D$373)+SIN(S27)*SIN($D$389)</f>
        <v>-0.2526880872192121</v>
      </c>
      <c r="V28" s="8">
        <f>COS($D$389)*COS($D$373)*(TAN($D$373)*COS(S30)-SIN(S27)*SIN(S30))+COS(S27)*SIN(S30)*SIN($D$389)</f>
        <v>0.8508308371883958</v>
      </c>
      <c r="AL28" s="9"/>
    </row>
    <row r="29" spans="1:38" s="20" customFormat="1" ht="12.75">
      <c r="A29" s="20">
        <f>($C$376+E27+F27/60)-INT(($C$376+E27+F27/60)/360)*360</f>
        <v>256.25994475764935</v>
      </c>
      <c r="B29" s="17">
        <f>TRUNC(A29)</f>
        <v>256</v>
      </c>
      <c r="C29" s="21">
        <f>(A29-B29)*60</f>
        <v>15.59668545896102</v>
      </c>
      <c r="D29" s="9" t="str">
        <f>IF(X27&gt;=0,"N","S")</f>
        <v>S</v>
      </c>
      <c r="E29" s="17">
        <f>ABS(TRUNC(X27))</f>
        <v>57</v>
      </c>
      <c r="F29" s="21">
        <f>ABS(X27-TRUNC(X27))*60</f>
        <v>11.058883418799468</v>
      </c>
      <c r="J29" s="8" t="s">
        <v>27</v>
      </c>
      <c r="K29" s="8">
        <f>8.83+K28*(0.1603+K28*(-0.0059285+K28*(0.00013336-K28/1174000)))</f>
        <v>-4474.475952069978</v>
      </c>
      <c r="L29" s="8">
        <f>K29*L27</f>
        <v>0</v>
      </c>
      <c r="M29" s="30">
        <v>42.847</v>
      </c>
      <c r="N29" s="30">
        <v>-12.33</v>
      </c>
      <c r="O29" s="31">
        <f>M30+O27/3600*$A$367</f>
        <v>24.428798133453814</v>
      </c>
      <c r="P29" s="31">
        <f>N30+P27/3600*$A$367</f>
        <v>-57.23688080764405</v>
      </c>
      <c r="Q29" s="31">
        <f>SIN($F$381)*COS(P30)*COS(O30+$B$381)+COS($F$381)*SIN(P30)</f>
        <v>-0.840388253699216</v>
      </c>
      <c r="R29" s="31" t="s">
        <v>139</v>
      </c>
      <c r="S29" s="20" t="s">
        <v>119</v>
      </c>
      <c r="T29" s="20" t="s">
        <v>122</v>
      </c>
      <c r="U29" s="20" t="s">
        <v>121</v>
      </c>
      <c r="V29" s="20" t="s">
        <v>122</v>
      </c>
      <c r="W29" s="20" t="s">
        <v>130</v>
      </c>
      <c r="AL29" s="9"/>
    </row>
    <row r="30" spans="1:38" s="8" customFormat="1" ht="12.75">
      <c r="A30" s="16"/>
      <c r="B30" s="16"/>
      <c r="C30" s="16"/>
      <c r="D30" s="16"/>
      <c r="E30" s="16"/>
      <c r="F30" s="16"/>
      <c r="M30" s="24">
        <f>(M27+M28/60+M29/3600)*15</f>
        <v>24.428529166666667</v>
      </c>
      <c r="N30" s="24">
        <f>N27+N28/60+N29/3600</f>
        <v>-57.236758333333334</v>
      </c>
      <c r="O30" s="8">
        <f>RADIANS(O29)</f>
        <v>0.42636295973381416</v>
      </c>
      <c r="P30" s="8">
        <f>RADIANS(P29)</f>
        <v>-0.9989720236649399</v>
      </c>
      <c r="R30" s="8">
        <f>DEGREES(ASIN(Q29))</f>
        <v>-57.181140987517956</v>
      </c>
      <c r="S30" s="8">
        <f>RADIANS(R30)</f>
        <v>-0.9979991802792701</v>
      </c>
      <c r="T30" s="8">
        <f>SIN($D$373)*COS(S27)*$A$370+SIN(S27)*$A$373</f>
        <v>3.058847681017083E-05</v>
      </c>
      <c r="U30" s="22">
        <f>($A$394*U27-U28)*$V$18/COS(S30)</f>
        <v>4.698442514445124E-05</v>
      </c>
      <c r="V30" s="22">
        <f>($A$394*V27-V28)*$V$18</f>
        <v>-8.598062184545709E-05</v>
      </c>
      <c r="W30" s="8">
        <f>360-W27</f>
        <v>335.46375386460466</v>
      </c>
      <c r="AL30" s="9"/>
    </row>
    <row r="31" spans="1:38" s="8" customFormat="1" ht="12.75">
      <c r="A31" s="16" t="s">
        <v>140</v>
      </c>
      <c r="B31" s="16" t="s">
        <v>140</v>
      </c>
      <c r="C31" s="16" t="s">
        <v>140</v>
      </c>
      <c r="D31" s="16" t="s">
        <v>140</v>
      </c>
      <c r="E31" s="16" t="s">
        <v>140</v>
      </c>
      <c r="F31" s="16" t="s">
        <v>140</v>
      </c>
      <c r="J31" s="8" t="s">
        <v>37</v>
      </c>
      <c r="K31" s="8" t="s">
        <v>38</v>
      </c>
      <c r="L31" s="8" t="b">
        <f>AND(1800&lt;A2,A2&lt;=1860)</f>
        <v>0</v>
      </c>
      <c r="M31" s="16" t="s">
        <v>140</v>
      </c>
      <c r="N31" s="16" t="s">
        <v>167</v>
      </c>
      <c r="O31" s="16" t="s">
        <v>140</v>
      </c>
      <c r="P31" s="16" t="s">
        <v>140</v>
      </c>
      <c r="Q31" s="16" t="s">
        <v>140</v>
      </c>
      <c r="R31" s="16" t="s">
        <v>140</v>
      </c>
      <c r="S31" s="16" t="s">
        <v>140</v>
      </c>
      <c r="T31" s="16" t="s">
        <v>167</v>
      </c>
      <c r="U31" s="16" t="s">
        <v>140</v>
      </c>
      <c r="V31" s="16" t="s">
        <v>140</v>
      </c>
      <c r="W31" s="16" t="s">
        <v>140</v>
      </c>
      <c r="X31" s="16" t="s">
        <v>140</v>
      </c>
      <c r="Y31" s="16" t="s">
        <v>140</v>
      </c>
      <c r="Z31" s="16" t="s">
        <v>167</v>
      </c>
      <c r="AA31" s="16" t="s">
        <v>140</v>
      </c>
      <c r="AB31" s="16" t="s">
        <v>140</v>
      </c>
      <c r="AC31" s="16" t="s">
        <v>140</v>
      </c>
      <c r="AD31" s="16" t="s">
        <v>140</v>
      </c>
      <c r="AE31" s="16" t="s">
        <v>140</v>
      </c>
      <c r="AF31" s="16" t="s">
        <v>167</v>
      </c>
      <c r="AG31" s="16" t="s">
        <v>140</v>
      </c>
      <c r="AH31" s="16" t="s">
        <v>140</v>
      </c>
      <c r="AI31" s="16" t="s">
        <v>140</v>
      </c>
      <c r="AJ31" s="16" t="s">
        <v>140</v>
      </c>
      <c r="AK31" s="16" t="s">
        <v>140</v>
      </c>
      <c r="AL31" s="9"/>
    </row>
    <row r="32" spans="1:38" s="8" customFormat="1" ht="12.75">
      <c r="A32" s="16"/>
      <c r="B32" s="16"/>
      <c r="C32" s="16"/>
      <c r="D32" s="16"/>
      <c r="E32" s="16"/>
      <c r="F32" s="16"/>
      <c r="J32" s="8" t="s">
        <v>34</v>
      </c>
      <c r="K32" s="8">
        <f>K9-1800</f>
        <v>211.04166666666674</v>
      </c>
      <c r="M32" s="23" t="s">
        <v>104</v>
      </c>
      <c r="N32" s="23" t="s">
        <v>139</v>
      </c>
      <c r="O32" s="23" t="s">
        <v>106</v>
      </c>
      <c r="P32" s="23" t="s">
        <v>107</v>
      </c>
      <c r="Q32" s="8" t="s">
        <v>114</v>
      </c>
      <c r="R32" s="8" t="s">
        <v>104</v>
      </c>
      <c r="S32" s="8" t="s">
        <v>118</v>
      </c>
      <c r="T32" s="8" t="s">
        <v>121</v>
      </c>
      <c r="U32" s="8" t="s">
        <v>125</v>
      </c>
      <c r="V32" s="8" t="s">
        <v>126</v>
      </c>
      <c r="W32" s="8" t="s">
        <v>104</v>
      </c>
      <c r="X32" s="8" t="s">
        <v>139</v>
      </c>
      <c r="Y32" s="8" t="s">
        <v>67</v>
      </c>
      <c r="Z32" s="8" t="s">
        <v>68</v>
      </c>
      <c r="AA32" s="8" t="s">
        <v>69</v>
      </c>
      <c r="AB32" s="8" t="s">
        <v>74</v>
      </c>
      <c r="AC32" s="8" t="s">
        <v>73</v>
      </c>
      <c r="AD32" s="8" t="s">
        <v>70</v>
      </c>
      <c r="AE32" s="24" t="s">
        <v>75</v>
      </c>
      <c r="AF32" s="8" t="s">
        <v>71</v>
      </c>
      <c r="AG32" s="8" t="s">
        <v>72</v>
      </c>
      <c r="AH32" s="25" t="s">
        <v>76</v>
      </c>
      <c r="AI32" s="25" t="s">
        <v>77</v>
      </c>
      <c r="AJ32" s="24" t="s">
        <v>78</v>
      </c>
      <c r="AK32" s="24" t="s">
        <v>79</v>
      </c>
      <c r="AL32" s="9"/>
    </row>
    <row r="33" spans="1:38" s="8" customFormat="1" ht="12.75">
      <c r="A33" s="16" t="s">
        <v>167</v>
      </c>
      <c r="B33" s="26">
        <v>30</v>
      </c>
      <c r="C33" s="27">
        <v>1.3</v>
      </c>
      <c r="D33" s="18" t="s">
        <v>165</v>
      </c>
      <c r="E33" s="17">
        <f>TRUNC(W36)</f>
        <v>173</v>
      </c>
      <c r="F33" s="21">
        <f>ABS(W36-E33)*60</f>
        <v>11.396149773825073</v>
      </c>
      <c r="J33" s="8" t="s">
        <v>27</v>
      </c>
      <c r="K33" s="8">
        <f>13.72+K32*(-0.332447+K32*(0.0068612+K32*(0.0041116+K32*(-0.00037436+K32*(0.0000121272+K32*(-0.0000001699+0.000000000875*K32))))))</f>
        <v>5677401.2561873365</v>
      </c>
      <c r="L33" s="8">
        <f>K33*L31</f>
        <v>0</v>
      </c>
      <c r="M33" s="23">
        <v>12</v>
      </c>
      <c r="N33" s="23">
        <v>-63</v>
      </c>
      <c r="O33" s="23">
        <v>-0.0353</v>
      </c>
      <c r="P33" s="23">
        <v>-0.012</v>
      </c>
      <c r="Q33" s="8">
        <f>COS(P36)*SIN(O36+$B$381)</f>
        <v>-0.05294305198779547</v>
      </c>
      <c r="R33" s="8">
        <f>DEGREES(ATAN2(Q34,Q33))+$C$381</f>
        <v>-173.195537348582</v>
      </c>
      <c r="S33" s="8">
        <f>RADIANS(R34)</f>
        <v>3.2603529306860204</v>
      </c>
      <c r="T33" s="8">
        <f>(COS($D$373)+SIN($D$373)*SIN(S33)*TAN(S36))*$A$370-COS(S33)*TAN(S36)*$A$373</f>
        <v>8.575804467179758E-05</v>
      </c>
      <c r="U33" s="8">
        <f>COS(S33)*COS($D$394)*COS($D$373)+SIN(S33)*SIN($D$394)</f>
        <v>0.09151101082829316</v>
      </c>
      <c r="V33" s="8">
        <f>COS($D$394)*COS($D$373)*(TAN($D$373)*COS(S36)-SIN(S33)*SIN(S36))+COS(S33)*SIN(S36)*SIN($D$394)</f>
        <v>0.8440785239184511</v>
      </c>
      <c r="W33" s="8">
        <f>DEGREES(U36+T33+S33)</f>
        <v>186.81006417043625</v>
      </c>
      <c r="X33" s="8">
        <f>DEGREES(V36+T36+S36)</f>
        <v>-63.15687626407633</v>
      </c>
      <c r="Y33" s="28">
        <f>V36+T36+S36</f>
        <v>-1.1022954360827877</v>
      </c>
      <c r="Z33" s="8">
        <f>RADIANS(A35)</f>
        <v>1.6403673625061446</v>
      </c>
      <c r="AA33" s="8">
        <f>Z33+$K$2</f>
        <v>-0.4540277398870507</v>
      </c>
      <c r="AB33" s="8">
        <f>DEGREES(AA33)</f>
        <v>-26.01387327739155</v>
      </c>
      <c r="AC33" s="8">
        <f>AB33-INT(AB33/360)*360</f>
        <v>333.98612672260845</v>
      </c>
      <c r="AD33" s="28">
        <f>SIN(Y33)*SIN($J$2)+COS(Y33)*COS($J$2)*COS(AA33)</f>
        <v>0.7975577806232839</v>
      </c>
      <c r="AE33" s="28">
        <f>ASIN(AD33)</f>
        <v>0.9232358269801012</v>
      </c>
      <c r="AF33" s="28">
        <f>(SIN(Y33)-SIN($J$2)*AD33)/(COS($J$2)*COS(AE33))</f>
        <v>-0.9445735756995577</v>
      </c>
      <c r="AG33" s="8">
        <f>DEGREES(ACOS(AF33))</f>
        <v>160.8343871491124</v>
      </c>
      <c r="AH33" s="8">
        <f>IF(AC33&gt;180,AG33,360-AG33)</f>
        <v>160.8343871491124</v>
      </c>
      <c r="AI33" s="8">
        <f>DEGREES(AE33)</f>
        <v>52.8975163812301</v>
      </c>
      <c r="AJ33" s="28">
        <f>$C$5-AI33</f>
        <v>13.959150285436571</v>
      </c>
      <c r="AK33" s="29">
        <f>$D$5-AH33</f>
        <v>67.06561285088762</v>
      </c>
      <c r="AL33" s="9">
        <f>AJ33*AJ33+AK33*AK33</f>
        <v>4692.654303756547</v>
      </c>
    </row>
    <row r="34" spans="1:38" s="8" customFormat="1" ht="12.75">
      <c r="A34" s="16" t="s">
        <v>137</v>
      </c>
      <c r="B34" s="16" t="s">
        <v>138</v>
      </c>
      <c r="C34" s="16" t="s">
        <v>135</v>
      </c>
      <c r="D34" s="16" t="s">
        <v>139</v>
      </c>
      <c r="E34" s="16" t="s">
        <v>138</v>
      </c>
      <c r="F34" s="16" t="s">
        <v>135</v>
      </c>
      <c r="M34" s="23">
        <v>26</v>
      </c>
      <c r="N34" s="23">
        <v>-5</v>
      </c>
      <c r="O34" s="8" t="s">
        <v>110</v>
      </c>
      <c r="P34" s="8" t="s">
        <v>111</v>
      </c>
      <c r="Q34" s="8">
        <f>COS($F$381)*COS(P36)*COS(O36+$B$381)-SIN($F$381)*SIN(P36)</f>
        <v>-0.4483871797891032</v>
      </c>
      <c r="R34" s="8">
        <f>R33-360*INT(R33/360)</f>
        <v>186.804462651418</v>
      </c>
      <c r="U34" s="8">
        <f>COS(S33)*COS($D$389)*COS($D$373)+SIN(S33)*SIN($D$389)</f>
        <v>-0.05302920918486215</v>
      </c>
      <c r="V34" s="8">
        <f>COS($D$389)*COS($D$373)*(TAN($D$373)*COS(S36)-SIN(S33)*SIN(S36))+COS(S33)*SIN(S36)*SIN($D$389)</f>
        <v>-0.8551647255521386</v>
      </c>
      <c r="AL34" s="9"/>
    </row>
    <row r="35" spans="1:38" s="20" customFormat="1" ht="12.75">
      <c r="A35" s="20">
        <f>($C$376+E33+F33/60)-INT(($C$376+E33+F33/60)/360)*360</f>
        <v>93.98612672260845</v>
      </c>
      <c r="B35" s="17">
        <f>TRUNC(A35)</f>
        <v>93</v>
      </c>
      <c r="C35" s="21">
        <f>(A35-B35)*60</f>
        <v>59.16760335650679</v>
      </c>
      <c r="D35" s="9" t="str">
        <f>IF(X33&gt;=0,"N","S")</f>
        <v>S</v>
      </c>
      <c r="E35" s="17">
        <f>ABS(TRUNC(X33))</f>
        <v>63</v>
      </c>
      <c r="F35" s="21">
        <f>ABS(X33-TRUNC(X33))*60</f>
        <v>9.412575844579862</v>
      </c>
      <c r="J35" s="8" t="s">
        <v>39</v>
      </c>
      <c r="K35" s="8" t="s">
        <v>40</v>
      </c>
      <c r="L35" s="8" t="b">
        <f>AND(1860&lt;A2,A2&lt;=1900)</f>
        <v>0</v>
      </c>
      <c r="M35" s="30">
        <v>35.871</v>
      </c>
      <c r="N35" s="30">
        <v>-56.58</v>
      </c>
      <c r="O35" s="31">
        <f>M36+O33/3600*$A$367</f>
        <v>186.64935463215647</v>
      </c>
      <c r="P35" s="31">
        <f>N36+P33/3600*$A$367</f>
        <v>-63.09908666895531</v>
      </c>
      <c r="Q35" s="31">
        <f>SIN($F$381)*COS(P36)*COS(O36+$B$381)+COS($F$381)*SIN(P36)</f>
        <v>-0.8922701217943992</v>
      </c>
      <c r="R35" s="31" t="s">
        <v>139</v>
      </c>
      <c r="S35" s="20" t="s">
        <v>119</v>
      </c>
      <c r="T35" s="20" t="s">
        <v>122</v>
      </c>
      <c r="U35" s="20" t="s">
        <v>121</v>
      </c>
      <c r="V35" s="20" t="s">
        <v>122</v>
      </c>
      <c r="W35" s="20" t="s">
        <v>130</v>
      </c>
      <c r="AL35" s="9"/>
    </row>
    <row r="36" spans="1:38" s="8" customFormat="1" ht="12.75">
      <c r="A36" s="16"/>
      <c r="B36" s="16"/>
      <c r="C36" s="16"/>
      <c r="D36" s="16"/>
      <c r="E36" s="16"/>
      <c r="F36" s="16"/>
      <c r="J36" s="8" t="s">
        <v>34</v>
      </c>
      <c r="K36" s="8">
        <f>K9-1860</f>
        <v>151.04166666666674</v>
      </c>
      <c r="M36" s="24">
        <f>(M33+M34/60+M35/3600)*15</f>
        <v>186.6494625</v>
      </c>
      <c r="N36" s="24">
        <f>N33+N34/60+N35/3600</f>
        <v>-63.099050000000005</v>
      </c>
      <c r="O36" s="8">
        <f>RADIANS(O35)</f>
        <v>3.25764578505366</v>
      </c>
      <c r="P36" s="8">
        <f>RADIANS(P35)</f>
        <v>-1.1012868173745314</v>
      </c>
      <c r="R36" s="8">
        <f>DEGREES(ASIN(Q35))</f>
        <v>-63.15991024813122</v>
      </c>
      <c r="S36" s="8">
        <f>RADIANS(R36)</f>
        <v>-1.1023483890939985</v>
      </c>
      <c r="T36" s="8">
        <f>SIN($D$373)*COS(S33)*$A$370+SIN(S33)*$A$373</f>
        <v>-3.342150188074448E-05</v>
      </c>
      <c r="U36" s="22">
        <f>($A$394*U33-U34)*$V$18/COS(S36)</f>
        <v>1.2006905309363775E-05</v>
      </c>
      <c r="V36" s="22">
        <f>($A$394*V33-V34)*$V$18</f>
        <v>8.637451309151059E-05</v>
      </c>
      <c r="W36" s="8">
        <f>360-W33</f>
        <v>173.18993582956375</v>
      </c>
      <c r="AL36" s="9"/>
    </row>
    <row r="37" spans="1:38" s="8" customFormat="1" ht="12.75">
      <c r="A37" s="16" t="s">
        <v>140</v>
      </c>
      <c r="B37" s="16" t="s">
        <v>140</v>
      </c>
      <c r="C37" s="16" t="s">
        <v>140</v>
      </c>
      <c r="D37" s="16" t="s">
        <v>140</v>
      </c>
      <c r="E37" s="16" t="s">
        <v>140</v>
      </c>
      <c r="F37" s="16" t="s">
        <v>140</v>
      </c>
      <c r="J37" s="8" t="s">
        <v>27</v>
      </c>
      <c r="K37" s="8">
        <f>7.62+K36*(0.5737+K36*(-0.251754+K36*(0.01680668+K36*(-0.0004473624+K36/233174))))</f>
        <v>156564.17512734132</v>
      </c>
      <c r="L37" s="8">
        <f>K37*L35</f>
        <v>0</v>
      </c>
      <c r="M37" s="16" t="s">
        <v>140</v>
      </c>
      <c r="N37" s="16" t="s">
        <v>168</v>
      </c>
      <c r="O37" s="16" t="s">
        <v>140</v>
      </c>
      <c r="P37" s="16" t="s">
        <v>140</v>
      </c>
      <c r="Q37" s="16" t="s">
        <v>140</v>
      </c>
      <c r="R37" s="16" t="s">
        <v>140</v>
      </c>
      <c r="S37" s="16" t="s">
        <v>140</v>
      </c>
      <c r="T37" s="16" t="s">
        <v>168</v>
      </c>
      <c r="U37" s="16" t="s">
        <v>140</v>
      </c>
      <c r="V37" s="16" t="s">
        <v>140</v>
      </c>
      <c r="W37" s="16" t="s">
        <v>140</v>
      </c>
      <c r="X37" s="16" t="s">
        <v>140</v>
      </c>
      <c r="Y37" s="16" t="s">
        <v>140</v>
      </c>
      <c r="Z37" s="16" t="s">
        <v>168</v>
      </c>
      <c r="AA37" s="16" t="s">
        <v>140</v>
      </c>
      <c r="AB37" s="16" t="s">
        <v>140</v>
      </c>
      <c r="AC37" s="16" t="s">
        <v>140</v>
      </c>
      <c r="AD37" s="16" t="s">
        <v>140</v>
      </c>
      <c r="AE37" s="16" t="s">
        <v>140</v>
      </c>
      <c r="AF37" s="16" t="s">
        <v>168</v>
      </c>
      <c r="AG37" s="16" t="s">
        <v>140</v>
      </c>
      <c r="AH37" s="16" t="s">
        <v>140</v>
      </c>
      <c r="AI37" s="16" t="s">
        <v>140</v>
      </c>
      <c r="AJ37" s="16" t="s">
        <v>140</v>
      </c>
      <c r="AK37" s="16" t="s">
        <v>140</v>
      </c>
      <c r="AL37" s="9"/>
    </row>
    <row r="38" spans="1:38" s="8" customFormat="1" ht="12.75">
      <c r="A38" s="16"/>
      <c r="B38" s="16"/>
      <c r="C38" s="16"/>
      <c r="D38" s="16"/>
      <c r="E38" s="16"/>
      <c r="F38" s="16"/>
      <c r="M38" s="23" t="s">
        <v>104</v>
      </c>
      <c r="N38" s="23" t="s">
        <v>139</v>
      </c>
      <c r="O38" s="23" t="s">
        <v>106</v>
      </c>
      <c r="P38" s="23" t="s">
        <v>107</v>
      </c>
      <c r="Q38" s="8" t="s">
        <v>114</v>
      </c>
      <c r="R38" s="8" t="s">
        <v>104</v>
      </c>
      <c r="S38" s="8" t="s">
        <v>118</v>
      </c>
      <c r="T38" s="8" t="s">
        <v>121</v>
      </c>
      <c r="U38" s="8" t="s">
        <v>125</v>
      </c>
      <c r="V38" s="8" t="s">
        <v>126</v>
      </c>
      <c r="W38" s="8" t="s">
        <v>104</v>
      </c>
      <c r="X38" s="8" t="s">
        <v>139</v>
      </c>
      <c r="Y38" s="8" t="s">
        <v>67</v>
      </c>
      <c r="Z38" s="8" t="s">
        <v>68</v>
      </c>
      <c r="AA38" s="8" t="s">
        <v>69</v>
      </c>
      <c r="AB38" s="8" t="s">
        <v>74</v>
      </c>
      <c r="AC38" s="8" t="s">
        <v>73</v>
      </c>
      <c r="AD38" s="8" t="s">
        <v>70</v>
      </c>
      <c r="AE38" s="24" t="s">
        <v>75</v>
      </c>
      <c r="AF38" s="8" t="s">
        <v>71</v>
      </c>
      <c r="AG38" s="8" t="s">
        <v>72</v>
      </c>
      <c r="AH38" s="25" t="s">
        <v>76</v>
      </c>
      <c r="AI38" s="25" t="s">
        <v>77</v>
      </c>
      <c r="AJ38" s="24" t="s">
        <v>78</v>
      </c>
      <c r="AK38" s="24" t="s">
        <v>79</v>
      </c>
      <c r="AL38" s="9"/>
    </row>
    <row r="39" spans="1:38" s="8" customFormat="1" ht="12.75">
      <c r="A39" s="16" t="s">
        <v>168</v>
      </c>
      <c r="B39" s="26">
        <v>19</v>
      </c>
      <c r="C39" s="27">
        <v>1.5</v>
      </c>
      <c r="D39" s="18" t="s">
        <v>165</v>
      </c>
      <c r="E39" s="17">
        <f>TRUNC(W42)</f>
        <v>255</v>
      </c>
      <c r="F39" s="27">
        <f>ABS(W42-E39)*60</f>
        <v>13.524553670644082</v>
      </c>
      <c r="J39" s="8" t="s">
        <v>41</v>
      </c>
      <c r="K39" s="8" t="s">
        <v>42</v>
      </c>
      <c r="L39" s="8" t="b">
        <f>AND(1900&lt;A2,A2&lt;=1920)</f>
        <v>0</v>
      </c>
      <c r="M39" s="23">
        <v>6</v>
      </c>
      <c r="N39" s="23">
        <v>-28</v>
      </c>
      <c r="O39" s="23">
        <v>0.00263</v>
      </c>
      <c r="P39" s="23">
        <v>0.00229</v>
      </c>
      <c r="Q39" s="8">
        <f>COS(P42)*SIN(O42+$B$381)</f>
        <v>0.8461154382428844</v>
      </c>
      <c r="R39" s="8">
        <f>DEGREES(ATAN2(Q40,Q39))+$C$381</f>
        <v>104.76459834459702</v>
      </c>
      <c r="S39" s="8">
        <f>RADIANS(R40)</f>
        <v>1.8284871806426188</v>
      </c>
      <c r="T39" s="8">
        <f>(COS($D$373)+SIN($D$373)*SIN(S39)*TAN(S42))*$A$370-COS(S39)*TAN(S42)*$A$373</f>
        <v>5.964453367275541E-05</v>
      </c>
      <c r="U39" s="8">
        <f>COS(S39)*COS($D$394)*COS($D$373)+SIN(S39)*SIN($D$394)</f>
        <v>0.9948160563137711</v>
      </c>
      <c r="V39" s="8">
        <f>COS($D$394)*COS($D$373)*(TAN($D$373)*COS(S42)-SIN(S39)*SIN(S42))+COS(S39)*SIN(S42)*SIN($D$394)</f>
        <v>-0.05638017798565817</v>
      </c>
      <c r="W39" s="8">
        <f>DEGREES(U42+T39+S39)</f>
        <v>104.77459077215592</v>
      </c>
      <c r="X39" s="8">
        <f>DEGREES(V42+T42+S42)</f>
        <v>-28.988264317954197</v>
      </c>
      <c r="Y39" s="28">
        <f>V42+T42+S42</f>
        <v>-0.5059406567866891</v>
      </c>
      <c r="Z39" s="8">
        <f>RADIANS(A41)</f>
        <v>3.072156476738357</v>
      </c>
      <c r="AA39" s="8">
        <f>Z39+$K$2</f>
        <v>0.9777613743451616</v>
      </c>
      <c r="AB39" s="8">
        <f>DEGREES(AA39)</f>
        <v>56.02160012088873</v>
      </c>
      <c r="AC39" s="8">
        <f>AB39-INT(AB39/360)*360</f>
        <v>56.02160012088873</v>
      </c>
      <c r="AD39" s="28">
        <f>SIN(Y39)*SIN($J$2)+COS(Y39)*COS($J$2)*COS(AA39)</f>
        <v>0.6656832097335517</v>
      </c>
      <c r="AE39" s="28">
        <f>ASIN(AD39)</f>
        <v>0.7284089875653762</v>
      </c>
      <c r="AF39" s="28">
        <f>(SIN(Y39)-SIN($J$2)*AD39)/(COS($J$2)*COS(AE39))</f>
        <v>-0.23487347296456798</v>
      </c>
      <c r="AG39" s="8">
        <f>DEGREES(ACOS(AF39))</f>
        <v>103.58416455830971</v>
      </c>
      <c r="AH39" s="8">
        <f>IF(AC39&gt;180,AG39,360-AG39)</f>
        <v>256.4158354416903</v>
      </c>
      <c r="AI39" s="8">
        <f>DEGREES(AE39)</f>
        <v>41.734760746893315</v>
      </c>
      <c r="AJ39" s="28">
        <f>$C$5-AI39</f>
        <v>25.121905919773354</v>
      </c>
      <c r="AK39" s="29">
        <f>$D$5-AH39</f>
        <v>-28.515835441690314</v>
      </c>
      <c r="AL39" s="9">
        <f>AJ39*AJ39+AK39*AK39</f>
        <v>1444.2630279795048</v>
      </c>
    </row>
    <row r="40" spans="1:38" s="8" customFormat="1" ht="12.75">
      <c r="A40" s="16" t="s">
        <v>137</v>
      </c>
      <c r="B40" s="16" t="s">
        <v>138</v>
      </c>
      <c r="C40" s="16" t="s">
        <v>135</v>
      </c>
      <c r="D40" s="16" t="s">
        <v>139</v>
      </c>
      <c r="E40" s="16" t="s">
        <v>138</v>
      </c>
      <c r="F40" s="16" t="s">
        <v>135</v>
      </c>
      <c r="J40" s="8" t="s">
        <v>34</v>
      </c>
      <c r="K40" s="8">
        <f>K9-1900</f>
        <v>111.04166666666674</v>
      </c>
      <c r="M40" s="23">
        <v>58</v>
      </c>
      <c r="N40" s="23">
        <v>-58</v>
      </c>
      <c r="O40" s="8" t="s">
        <v>110</v>
      </c>
      <c r="P40" s="8" t="s">
        <v>111</v>
      </c>
      <c r="Q40" s="8">
        <f>COS($F$381)*COS(P42)*COS(O42+$B$381)-SIN($F$381)*SIN(P42)</f>
        <v>-0.22188146239722198</v>
      </c>
      <c r="R40" s="8">
        <f>R39-360*INT(R39/360)</f>
        <v>104.76459834459702</v>
      </c>
      <c r="U40" s="8">
        <f>COS(S39)*COS($D$389)*COS($D$373)+SIN(S39)*SIN($D$389)</f>
        <v>-0.9935972739259814</v>
      </c>
      <c r="V40" s="8">
        <f>COS($D$389)*COS($D$373)*(TAN($D$373)*COS(S42)-SIN(S39)*SIN(S42))+COS(S39)*SIN(S42)*SIN($D$389)</f>
        <v>0.023328697266794776</v>
      </c>
      <c r="AL40" s="9"/>
    </row>
    <row r="41" spans="1:38" s="20" customFormat="1" ht="12.75">
      <c r="A41" s="20">
        <f>($C$376+E39+F39/60)-INT(($C$376+E39+F39/60)/360)*360</f>
        <v>176.0216001208887</v>
      </c>
      <c r="B41" s="17">
        <f>TRUNC(A41)</f>
        <v>176</v>
      </c>
      <c r="C41" s="21">
        <f>(A41-B41)*60</f>
        <v>1.2960072533223865</v>
      </c>
      <c r="D41" s="9" t="str">
        <f>IF(X39&gt;=0,"N","S")</f>
        <v>S</v>
      </c>
      <c r="E41" s="17">
        <f>ABS(TRUNC(X39))</f>
        <v>28</v>
      </c>
      <c r="F41" s="21">
        <f>ABS(X39-TRUNC(X39))*60</f>
        <v>59.29585907725183</v>
      </c>
      <c r="J41" s="8" t="s">
        <v>27</v>
      </c>
      <c r="K41" s="8">
        <f>-2.79+K40*(1.494119+K40*(-0.0598939+K40*(0.0061966-0.000197*K40)))</f>
        <v>-22042.09427601317</v>
      </c>
      <c r="L41" s="8">
        <f>K41*L39</f>
        <v>0</v>
      </c>
      <c r="M41" s="30">
        <v>37.548</v>
      </c>
      <c r="N41" s="30">
        <v>-19.5</v>
      </c>
      <c r="O41" s="31">
        <f>M42+O39/3600*$A$367</f>
        <v>104.6564580366127</v>
      </c>
      <c r="P41" s="31">
        <f>N42+P39/3600*$A$367</f>
        <v>-28.97207633567436</v>
      </c>
      <c r="Q41" s="31">
        <f>SIN($F$381)*COS(P42)*COS(O42+$B$381)+COS($F$381)*SIN(P42)</f>
        <v>-0.48462076081356836</v>
      </c>
      <c r="R41" s="31" t="s">
        <v>139</v>
      </c>
      <c r="S41" s="20" t="s">
        <v>119</v>
      </c>
      <c r="T41" s="20" t="s">
        <v>122</v>
      </c>
      <c r="U41" s="20" t="s">
        <v>121</v>
      </c>
      <c r="V41" s="20" t="s">
        <v>122</v>
      </c>
      <c r="W41" s="20" t="s">
        <v>130</v>
      </c>
      <c r="AL41" s="9"/>
    </row>
    <row r="42" spans="1:38" s="8" customFormat="1" ht="12.75">
      <c r="A42" s="16"/>
      <c r="B42" s="16"/>
      <c r="C42" s="16"/>
      <c r="D42" s="16"/>
      <c r="E42" s="16"/>
      <c r="F42" s="16"/>
      <c r="M42" s="24">
        <f>(M39+M40/60+M41/3600)*15</f>
        <v>104.65645</v>
      </c>
      <c r="N42" s="24">
        <f>N39+N40/60+N41/3600</f>
        <v>-28.97208333333333</v>
      </c>
      <c r="O42" s="8">
        <f>RADIANS(O41)</f>
        <v>1.826599776214172</v>
      </c>
      <c r="P42" s="8">
        <f>RADIANS(P41)</f>
        <v>-0.5056581231966515</v>
      </c>
      <c r="R42" s="8">
        <f>DEGREES(ASIN(Q41))</f>
        <v>-28.987628679186752</v>
      </c>
      <c r="S42" s="8">
        <f>RADIANS(R42)</f>
        <v>-0.5059295627973439</v>
      </c>
      <c r="T42" s="8">
        <f>SIN($D$373)*COS(S39)*$A$370+SIN(S39)*$A$373</f>
        <v>-8.682351810984176E-06</v>
      </c>
      <c r="U42" s="22">
        <f>($A$394*U39-U40)*$V$18/COS(S42)</f>
        <v>0.00011475622749708413</v>
      </c>
      <c r="V42" s="22">
        <f>($A$394*V39-V40)*$V$18</f>
        <v>-2.4116375342138694E-06</v>
      </c>
      <c r="W42" s="8">
        <f>360-W39</f>
        <v>255.22540922784407</v>
      </c>
      <c r="AL42" s="9"/>
    </row>
    <row r="43" spans="1:38" s="8" customFormat="1" ht="12.75">
      <c r="A43" s="16" t="s">
        <v>140</v>
      </c>
      <c r="B43" s="16" t="s">
        <v>140</v>
      </c>
      <c r="C43" s="16" t="s">
        <v>140</v>
      </c>
      <c r="D43" s="16" t="s">
        <v>140</v>
      </c>
      <c r="E43" s="16" t="s">
        <v>140</v>
      </c>
      <c r="F43" s="16" t="s">
        <v>140</v>
      </c>
      <c r="J43" s="8" t="s">
        <v>43</v>
      </c>
      <c r="K43" s="8" t="s">
        <v>44</v>
      </c>
      <c r="L43" s="8" t="b">
        <f>AND(1920&lt;A2,A2&lt;=1941)</f>
        <v>0</v>
      </c>
      <c r="M43" s="16" t="s">
        <v>140</v>
      </c>
      <c r="N43" s="16" t="s">
        <v>169</v>
      </c>
      <c r="O43" s="16" t="s">
        <v>140</v>
      </c>
      <c r="P43" s="16" t="s">
        <v>140</v>
      </c>
      <c r="Q43" s="16" t="s">
        <v>140</v>
      </c>
      <c r="R43" s="16" t="s">
        <v>140</v>
      </c>
      <c r="S43" s="16" t="s">
        <v>140</v>
      </c>
      <c r="T43" s="16" t="s">
        <v>169</v>
      </c>
      <c r="U43" s="16" t="s">
        <v>140</v>
      </c>
      <c r="V43" s="16" t="s">
        <v>140</v>
      </c>
      <c r="W43" s="16" t="s">
        <v>140</v>
      </c>
      <c r="X43" s="16" t="s">
        <v>140</v>
      </c>
      <c r="Y43" s="16" t="s">
        <v>140</v>
      </c>
      <c r="Z43" s="16" t="s">
        <v>169</v>
      </c>
      <c r="AA43" s="16" t="s">
        <v>140</v>
      </c>
      <c r="AB43" s="16" t="s">
        <v>140</v>
      </c>
      <c r="AC43" s="16" t="s">
        <v>140</v>
      </c>
      <c r="AD43" s="16" t="s">
        <v>140</v>
      </c>
      <c r="AE43" s="16" t="s">
        <v>140</v>
      </c>
      <c r="AF43" s="16" t="s">
        <v>169</v>
      </c>
      <c r="AG43" s="16" t="s">
        <v>140</v>
      </c>
      <c r="AH43" s="16" t="s">
        <v>140</v>
      </c>
      <c r="AI43" s="16" t="s">
        <v>140</v>
      </c>
      <c r="AJ43" s="16" t="s">
        <v>140</v>
      </c>
      <c r="AK43" s="16" t="s">
        <v>140</v>
      </c>
      <c r="AL43" s="9"/>
    </row>
    <row r="44" spans="1:38" s="8" customFormat="1" ht="12.75">
      <c r="A44" s="16"/>
      <c r="B44" s="16"/>
      <c r="C44" s="16"/>
      <c r="D44" s="16"/>
      <c r="E44" s="16"/>
      <c r="F44" s="16"/>
      <c r="J44" s="24" t="s">
        <v>34</v>
      </c>
      <c r="K44" s="24">
        <f>K9-1920</f>
        <v>91.04166666666674</v>
      </c>
      <c r="L44" s="25"/>
      <c r="M44" s="23" t="s">
        <v>104</v>
      </c>
      <c r="N44" s="23" t="s">
        <v>139</v>
      </c>
      <c r="O44" s="23" t="s">
        <v>106</v>
      </c>
      <c r="P44" s="23" t="s">
        <v>107</v>
      </c>
      <c r="Q44" s="8" t="s">
        <v>114</v>
      </c>
      <c r="R44" s="8" t="s">
        <v>104</v>
      </c>
      <c r="S44" s="8" t="s">
        <v>118</v>
      </c>
      <c r="T44" s="8" t="s">
        <v>121</v>
      </c>
      <c r="U44" s="8" t="s">
        <v>125</v>
      </c>
      <c r="V44" s="8" t="s">
        <v>126</v>
      </c>
      <c r="W44" s="8" t="s">
        <v>104</v>
      </c>
      <c r="X44" s="8" t="s">
        <v>139</v>
      </c>
      <c r="Y44" s="8" t="s">
        <v>67</v>
      </c>
      <c r="Z44" s="8" t="s">
        <v>68</v>
      </c>
      <c r="AA44" s="8" t="s">
        <v>69</v>
      </c>
      <c r="AB44" s="8" t="s">
        <v>74</v>
      </c>
      <c r="AC44" s="8" t="s">
        <v>73</v>
      </c>
      <c r="AD44" s="8" t="s">
        <v>70</v>
      </c>
      <c r="AE44" s="24" t="s">
        <v>75</v>
      </c>
      <c r="AF44" s="8" t="s">
        <v>71</v>
      </c>
      <c r="AG44" s="8" t="s">
        <v>72</v>
      </c>
      <c r="AH44" s="25" t="s">
        <v>76</v>
      </c>
      <c r="AI44" s="25" t="s">
        <v>77</v>
      </c>
      <c r="AJ44" s="24" t="s">
        <v>78</v>
      </c>
      <c r="AK44" s="24" t="s">
        <v>79</v>
      </c>
      <c r="AL44" s="9"/>
    </row>
    <row r="45" spans="1:38" s="8" customFormat="1" ht="12.75">
      <c r="A45" s="16" t="s">
        <v>169</v>
      </c>
      <c r="B45" s="26">
        <v>10</v>
      </c>
      <c r="C45" s="27">
        <v>0.9</v>
      </c>
      <c r="D45" s="18" t="s">
        <v>165</v>
      </c>
      <c r="E45" s="17">
        <f>TRUNC(W48)</f>
        <v>290</v>
      </c>
      <c r="F45" s="21">
        <f>ABS(W48-E45)*60</f>
        <v>51.09429243221712</v>
      </c>
      <c r="J45" s="24" t="s">
        <v>27</v>
      </c>
      <c r="K45" s="8">
        <f>21.2+K44*(0.84493+K44*(-0.0761+0.0020936*K44))</f>
        <v>1047.2068873625608</v>
      </c>
      <c r="L45" s="8">
        <f>K45*L43</f>
        <v>0</v>
      </c>
      <c r="M45" s="23">
        <v>4</v>
      </c>
      <c r="N45" s="23">
        <v>16</v>
      </c>
      <c r="O45" s="23">
        <v>0.06278</v>
      </c>
      <c r="P45" s="23">
        <v>-0.18935</v>
      </c>
      <c r="Q45" s="8">
        <f>COS(P48)*SIN(O48+$B$381)</f>
        <v>0.8953994066145031</v>
      </c>
      <c r="R45" s="8">
        <f>DEGREES(ATAN2(Q46,Q45))+$C$381</f>
        <v>69.13826817399371</v>
      </c>
      <c r="S45" s="8">
        <f>RADIANS(R46)</f>
        <v>1.206690418762998</v>
      </c>
      <c r="T45" s="8">
        <f>(COS($D$373)+SIN($D$373)*SIN(S45)*TAN(S48))*$A$370-COS(S45)*TAN(S48)*$A$373</f>
        <v>8.701780118783835E-05</v>
      </c>
      <c r="U45" s="8">
        <f>COS(S45)*COS($D$394)*COS($D$373)+SIN(S45)*SIN($D$394)</f>
        <v>0.8358250937283612</v>
      </c>
      <c r="V45" s="8">
        <f>COS($D$394)*COS($D$373)*(TAN($D$373)*COS(S48)-SIN(S45)*SIN(S48))+COS(S45)*SIN(S48)*SIN($D$394)</f>
        <v>0.06747835490874776</v>
      </c>
      <c r="W45" s="8">
        <f>DEGREES(U48+T45+S45)</f>
        <v>69.14842845946308</v>
      </c>
      <c r="X45" s="8">
        <f>DEGREES(V48+T48+S48)</f>
        <v>16.531722448308553</v>
      </c>
      <c r="Y45" s="28">
        <f>V48+T48+S48</f>
        <v>0.28853298774884234</v>
      </c>
      <c r="Z45" s="8">
        <f>RADIANS(A47)</f>
        <v>3.6939503089447663</v>
      </c>
      <c r="AA45" s="8">
        <f>Z45+$K$2</f>
        <v>1.599555206551571</v>
      </c>
      <c r="AB45" s="8">
        <f>DEGREES(AA45)</f>
        <v>91.64776243358166</v>
      </c>
      <c r="AC45" s="8">
        <f>AB45-INT(AB45/360)*360</f>
        <v>91.64776243358166</v>
      </c>
      <c r="AD45" s="28">
        <f>SIN(Y45)*SIN($J$2)+COS(Y45)*COS($J$2)*COS(AA45)</f>
        <v>-0.16614615805964256</v>
      </c>
      <c r="AE45" s="28">
        <f>ASIN(AD45)</f>
        <v>-0.16692021066837331</v>
      </c>
      <c r="AF45" s="28">
        <f>(SIN(Y45)-SIN($J$2)*AD45)/(COS($J$2)*COS(AE45))</f>
        <v>0.23592009875835643</v>
      </c>
      <c r="AG45" s="8">
        <f>DEGREES(ACOS(AF45))</f>
        <v>76.35413435720118</v>
      </c>
      <c r="AH45" s="8">
        <f>IF(AC45&gt;180,AG45,360-AG45)</f>
        <v>283.6458656427988</v>
      </c>
      <c r="AI45" s="8">
        <f>DEGREES(AE45)</f>
        <v>-9.563823586732369</v>
      </c>
      <c r="AJ45" s="28">
        <f>$C$5-AI45</f>
        <v>76.42049025339904</v>
      </c>
      <c r="AK45" s="29">
        <f>$D$5-AH45</f>
        <v>-55.745865642798805</v>
      </c>
      <c r="AL45" s="9">
        <f>AJ45*AJ45+AK45*AK45</f>
        <v>8947.692866834834</v>
      </c>
    </row>
    <row r="46" spans="1:38" s="8" customFormat="1" ht="12.75">
      <c r="A46" s="16" t="s">
        <v>137</v>
      </c>
      <c r="B46" s="16" t="s">
        <v>138</v>
      </c>
      <c r="C46" s="16" t="s">
        <v>135</v>
      </c>
      <c r="D46" s="16" t="s">
        <v>139</v>
      </c>
      <c r="E46" s="16" t="s">
        <v>138</v>
      </c>
      <c r="F46" s="16" t="s">
        <v>135</v>
      </c>
      <c r="M46" s="23">
        <v>35</v>
      </c>
      <c r="N46" s="23">
        <v>30</v>
      </c>
      <c r="O46" s="8" t="s">
        <v>110</v>
      </c>
      <c r="P46" s="8" t="s">
        <v>111</v>
      </c>
      <c r="Q46" s="8">
        <f>COS($F$381)*COS(P48)*COS(O48+$B$381)-SIN($F$381)*SIN(P48)</f>
        <v>0.34249663515177287</v>
      </c>
      <c r="R46" s="8">
        <f>R45-360*INT(R45/360)</f>
        <v>69.13826817399371</v>
      </c>
      <c r="U46" s="8">
        <f>COS(S45)*COS($D$389)*COS($D$373)+SIN(S45)*SIN($D$389)</f>
        <v>-0.857368755355273</v>
      </c>
      <c r="V46" s="8">
        <f>COS($D$389)*COS($D$373)*(TAN($D$373)*COS(S48)-SIN(S45)*SIN(S48))+COS(S45)*SIN(S48)*SIN($D$389)</f>
        <v>-0.07400556888764052</v>
      </c>
      <c r="AL46" s="9"/>
    </row>
    <row r="47" spans="1:38" s="20" customFormat="1" ht="12.75">
      <c r="A47" s="20">
        <f>($C$376+E45+F45/60)-INT(($C$376+E45+F45/60)/360)*360</f>
        <v>211.64776243358165</v>
      </c>
      <c r="B47" s="17">
        <f>TRUNC(A47)</f>
        <v>211</v>
      </c>
      <c r="C47" s="21">
        <f>(A47-B47)*60</f>
        <v>38.86574601489883</v>
      </c>
      <c r="D47" s="9" t="str">
        <f>IF(X45&gt;=0,"N","S")</f>
        <v>N</v>
      </c>
      <c r="E47" s="17">
        <f>ABS(TRUNC(X45))</f>
        <v>16</v>
      </c>
      <c r="F47" s="21">
        <f>ABS(X45-TRUNC(X45))*60</f>
        <v>31.903346898513192</v>
      </c>
      <c r="J47" s="8" t="s">
        <v>45</v>
      </c>
      <c r="K47" s="8" t="s">
        <v>50</v>
      </c>
      <c r="L47" s="8" t="b">
        <f>AND(1941&lt;A2,A2&lt;=1961)</f>
        <v>0</v>
      </c>
      <c r="M47" s="30">
        <v>55.239</v>
      </c>
      <c r="N47" s="30">
        <v>33.49</v>
      </c>
      <c r="O47" s="31">
        <f>M48+O45/3600*$A$367</f>
        <v>68.98035433975116</v>
      </c>
      <c r="P47" s="31">
        <f>N48+P45/3600*$A$367</f>
        <v>16.50872417222056</v>
      </c>
      <c r="Q47" s="31">
        <f>SIN($F$381)*COS(P48)*COS(O48+$B$381)+COS($F$381)*SIN(P48)</f>
        <v>0.2845276041864991</v>
      </c>
      <c r="R47" s="31" t="s">
        <v>139</v>
      </c>
      <c r="S47" s="20" t="s">
        <v>119</v>
      </c>
      <c r="T47" s="20" t="s">
        <v>122</v>
      </c>
      <c r="U47" s="20" t="s">
        <v>121</v>
      </c>
      <c r="V47" s="20" t="s">
        <v>122</v>
      </c>
      <c r="W47" s="20" t="s">
        <v>130</v>
      </c>
      <c r="AL47" s="9"/>
    </row>
    <row r="48" spans="1:38" s="8" customFormat="1" ht="12.75">
      <c r="A48" s="16"/>
      <c r="B48" s="16"/>
      <c r="C48" s="16"/>
      <c r="D48" s="16"/>
      <c r="E48" s="16"/>
      <c r="F48" s="16"/>
      <c r="J48" s="8" t="s">
        <v>34</v>
      </c>
      <c r="K48" s="8">
        <f>K9-1950</f>
        <v>61.04166666666674</v>
      </c>
      <c r="M48" s="24">
        <f>(M45+M46/60+M47/3600)*15</f>
        <v>68.9801625</v>
      </c>
      <c r="N48" s="24">
        <f>N45+N46/60+N47/3600</f>
        <v>16.509302777777776</v>
      </c>
      <c r="O48" s="8">
        <f>RADIANS(O47)</f>
        <v>1.203934302421017</v>
      </c>
      <c r="P48" s="8">
        <f>RADIANS(P47)</f>
        <v>0.28813159210882416</v>
      </c>
      <c r="R48" s="8">
        <f>DEGREES(ASIN(Q47))</f>
        <v>16.530613294118655</v>
      </c>
      <c r="S48" s="8">
        <f>RADIANS(R48)</f>
        <v>0.2885136293563163</v>
      </c>
      <c r="T48" s="8">
        <f>SIN($D$373)*COS(S45)*$A$370+SIN(S45)*$A$373</f>
        <v>1.1892822636339444E-05</v>
      </c>
      <c r="U48" s="22">
        <f>($A$394*U45-U46)*$V$18/COS(S48)</f>
        <v>9.031263319491619E-05</v>
      </c>
      <c r="V48" s="22">
        <f>($A$394*V45-V46)*$V$18</f>
        <v>7.46556988968112E-06</v>
      </c>
      <c r="W48" s="8">
        <f>360-W45</f>
        <v>290.85157154053695</v>
      </c>
      <c r="AL48" s="9"/>
    </row>
    <row r="49" spans="1:38" s="8" customFormat="1" ht="12.75">
      <c r="A49" s="16" t="s">
        <v>140</v>
      </c>
      <c r="B49" s="16" t="s">
        <v>140</v>
      </c>
      <c r="C49" s="16" t="s">
        <v>140</v>
      </c>
      <c r="D49" s="16" t="s">
        <v>140</v>
      </c>
      <c r="E49" s="16" t="s">
        <v>140</v>
      </c>
      <c r="F49" s="16" t="s">
        <v>140</v>
      </c>
      <c r="J49" s="8" t="s">
        <v>27</v>
      </c>
      <c r="K49" s="8">
        <f>29.07+K48*(0.407+K48*(-1/233+K48/2547))</f>
        <v>127.2219188827664</v>
      </c>
      <c r="L49" s="8">
        <f>K49*L47</f>
        <v>0</v>
      </c>
      <c r="M49" s="16" t="s">
        <v>140</v>
      </c>
      <c r="N49" s="16" t="s">
        <v>170</v>
      </c>
      <c r="O49" s="16" t="s">
        <v>140</v>
      </c>
      <c r="P49" s="16" t="s">
        <v>140</v>
      </c>
      <c r="Q49" s="16" t="s">
        <v>140</v>
      </c>
      <c r="R49" s="16" t="s">
        <v>140</v>
      </c>
      <c r="S49" s="16" t="s">
        <v>140</v>
      </c>
      <c r="T49" s="16" t="s">
        <v>170</v>
      </c>
      <c r="U49" s="16" t="s">
        <v>140</v>
      </c>
      <c r="V49" s="16" t="s">
        <v>140</v>
      </c>
      <c r="W49" s="16" t="s">
        <v>140</v>
      </c>
      <c r="X49" s="16" t="s">
        <v>140</v>
      </c>
      <c r="Y49" s="16" t="s">
        <v>140</v>
      </c>
      <c r="Z49" s="16" t="s">
        <v>170</v>
      </c>
      <c r="AA49" s="16" t="s">
        <v>140</v>
      </c>
      <c r="AB49" s="16" t="s">
        <v>140</v>
      </c>
      <c r="AC49" s="16" t="s">
        <v>140</v>
      </c>
      <c r="AD49" s="16" t="s">
        <v>140</v>
      </c>
      <c r="AE49" s="16" t="s">
        <v>140</v>
      </c>
      <c r="AF49" s="16" t="s">
        <v>170</v>
      </c>
      <c r="AG49" s="16" t="s">
        <v>140</v>
      </c>
      <c r="AH49" s="16" t="s">
        <v>140</v>
      </c>
      <c r="AI49" s="16" t="s">
        <v>140</v>
      </c>
      <c r="AJ49" s="16" t="s">
        <v>140</v>
      </c>
      <c r="AK49" s="16" t="s">
        <v>140</v>
      </c>
      <c r="AL49" s="9"/>
    </row>
    <row r="50" spans="1:38" s="8" customFormat="1" ht="12.75">
      <c r="A50" s="16"/>
      <c r="B50" s="16"/>
      <c r="C50" s="16"/>
      <c r="D50" s="16"/>
      <c r="E50" s="16"/>
      <c r="F50" s="16"/>
      <c r="M50" s="23" t="s">
        <v>104</v>
      </c>
      <c r="N50" s="23" t="s">
        <v>139</v>
      </c>
      <c r="O50" s="23" t="s">
        <v>106</v>
      </c>
      <c r="P50" s="23" t="s">
        <v>107</v>
      </c>
      <c r="Q50" s="8" t="s">
        <v>114</v>
      </c>
      <c r="R50" s="8" t="s">
        <v>104</v>
      </c>
      <c r="S50" s="8" t="s">
        <v>118</v>
      </c>
      <c r="T50" s="8" t="s">
        <v>121</v>
      </c>
      <c r="U50" s="8" t="s">
        <v>125</v>
      </c>
      <c r="V50" s="8" t="s">
        <v>126</v>
      </c>
      <c r="W50" s="8" t="s">
        <v>104</v>
      </c>
      <c r="X50" s="8" t="s">
        <v>139</v>
      </c>
      <c r="Y50" s="8" t="s">
        <v>67</v>
      </c>
      <c r="Z50" s="8" t="s">
        <v>68</v>
      </c>
      <c r="AA50" s="8" t="s">
        <v>69</v>
      </c>
      <c r="AB50" s="8" t="s">
        <v>74</v>
      </c>
      <c r="AC50" s="8" t="s">
        <v>73</v>
      </c>
      <c r="AD50" s="8" t="s">
        <v>70</v>
      </c>
      <c r="AE50" s="24" t="s">
        <v>75</v>
      </c>
      <c r="AF50" s="8" t="s">
        <v>71</v>
      </c>
      <c r="AG50" s="8" t="s">
        <v>72</v>
      </c>
      <c r="AH50" s="25" t="s">
        <v>76</v>
      </c>
      <c r="AI50" s="25" t="s">
        <v>77</v>
      </c>
      <c r="AJ50" s="24" t="s">
        <v>78</v>
      </c>
      <c r="AK50" s="24" t="s">
        <v>79</v>
      </c>
      <c r="AL50" s="9"/>
    </row>
    <row r="51" spans="1:38" s="8" customFormat="1" ht="12.75">
      <c r="A51" s="16" t="s">
        <v>170</v>
      </c>
      <c r="B51" s="26">
        <v>32</v>
      </c>
      <c r="C51" s="27">
        <v>1.8</v>
      </c>
      <c r="D51" s="18" t="s">
        <v>165</v>
      </c>
      <c r="E51" s="11">
        <f>TRUNC(W54)</f>
        <v>166</v>
      </c>
      <c r="F51" s="12">
        <f>ABS(W54-E51)*60</f>
        <v>22.174074334690772</v>
      </c>
      <c r="J51" s="8" t="s">
        <v>51</v>
      </c>
      <c r="K51" s="8" t="s">
        <v>52</v>
      </c>
      <c r="L51" s="8" t="b">
        <f>AND(1961&lt;A2,A2&lt;=1986)</f>
        <v>0</v>
      </c>
      <c r="M51" s="23">
        <v>12</v>
      </c>
      <c r="N51" s="23">
        <v>55</v>
      </c>
      <c r="O51" s="23">
        <v>0.11174</v>
      </c>
      <c r="P51" s="23">
        <v>-0.00899</v>
      </c>
      <c r="Q51" s="8">
        <f>COS(P54)*SIN(O54+$B$381)</f>
        <v>-0.13141861085988168</v>
      </c>
      <c r="R51" s="8">
        <f>DEGREES(ATAN2(Q52,Q51))+$C$381</f>
        <v>-166.37266673596778</v>
      </c>
      <c r="S51" s="8">
        <f>RADIANS(R52)</f>
        <v>3.379434487313701</v>
      </c>
      <c r="T51" s="8">
        <f>(COS($D$373)+SIN($D$373)*SIN(S51)*TAN(S54))*$A$370-COS(S51)*TAN(S54)*$A$373</f>
        <v>6.580078729769873E-05</v>
      </c>
      <c r="U51" s="8">
        <f>COS(S51)*COS($D$394)*COS($D$373)+SIN(S51)*SIN($D$394)</f>
        <v>-0.02695116335891945</v>
      </c>
      <c r="V51" s="8">
        <f>COS($D$394)*COS($D$373)*(TAN($D$373)*COS(S54)-SIN(S51)*SIN(S54))+COS(S51)*SIN(S54)*SIN($D$394)</f>
        <v>-0.8750181577978318</v>
      </c>
      <c r="W51" s="8">
        <f>DEGREES(U54+T51+S51)</f>
        <v>193.63043209442182</v>
      </c>
      <c r="X51" s="8">
        <f>DEGREES(V54+T54+S54)</f>
        <v>55.893374597367924</v>
      </c>
      <c r="Y51" s="28">
        <f>V54+T54+S54</f>
        <v>0.9755234167746302</v>
      </c>
      <c r="Z51" s="8">
        <f>RADIANS(A53)</f>
        <v>1.5213294860351856</v>
      </c>
      <c r="AA51" s="8">
        <f>Z51+$K$2</f>
        <v>-0.5730656163580097</v>
      </c>
      <c r="AB51" s="8">
        <f>DEGREES(AA51)</f>
        <v>-32.83424120137715</v>
      </c>
      <c r="AC51" s="8">
        <f>AB51-INT(AB51/360)*360</f>
        <v>327.16575879862285</v>
      </c>
      <c r="AD51" s="28">
        <f>SIN(Y51)*SIN($J$2)+COS(Y51)*COS($J$2)*COS(AA51)</f>
        <v>-0.005967036388431157</v>
      </c>
      <c r="AE51" s="28">
        <f>ASIN(AD51)</f>
        <v>-0.005967071798907346</v>
      </c>
      <c r="AF51" s="28">
        <f>(SIN(Y51)-SIN($J$2)*AD51)/(COS($J$2)*COS(AE51))</f>
        <v>0.9526587391433552</v>
      </c>
      <c r="AG51" s="8">
        <f>DEGREES(ACOS(AF51))</f>
        <v>17.700516750128273</v>
      </c>
      <c r="AH51" s="8">
        <f>IF(AC51&gt;180,AG51,360-AG51)</f>
        <v>17.700516750128273</v>
      </c>
      <c r="AI51" s="8">
        <f>DEGREES(AE51)</f>
        <v>-0.34188803012892677</v>
      </c>
      <c r="AJ51" s="28">
        <f>$C$5-AI51</f>
        <v>67.1985546967956</v>
      </c>
      <c r="AK51" s="29">
        <f>$D$5-AH51</f>
        <v>210.19948324987172</v>
      </c>
      <c r="AL51" s="9">
        <f>AJ51*AJ51+AK51*AK51</f>
        <v>48699.46851185133</v>
      </c>
    </row>
    <row r="52" spans="1:38" s="8" customFormat="1" ht="12.75">
      <c r="A52" s="16" t="s">
        <v>137</v>
      </c>
      <c r="B52" s="16" t="s">
        <v>138</v>
      </c>
      <c r="C52" s="16" t="s">
        <v>135</v>
      </c>
      <c r="D52" s="16" t="s">
        <v>139</v>
      </c>
      <c r="E52" s="16" t="s">
        <v>138</v>
      </c>
      <c r="F52" s="16" t="s">
        <v>135</v>
      </c>
      <c r="J52" s="8" t="s">
        <v>34</v>
      </c>
      <c r="K52" s="8">
        <f>K9-1975</f>
        <v>36.04166666666674</v>
      </c>
      <c r="M52" s="23">
        <v>54</v>
      </c>
      <c r="N52" s="23">
        <v>57</v>
      </c>
      <c r="O52" s="8" t="s">
        <v>110</v>
      </c>
      <c r="P52" s="8" t="s">
        <v>111</v>
      </c>
      <c r="Q52" s="8">
        <f>COS($F$381)*COS(P54)*COS(O54+$B$381)-SIN($F$381)*SIN(P54)</f>
        <v>-0.5450147151768199</v>
      </c>
      <c r="R52" s="8">
        <f>R51-360*INT(R51/360)</f>
        <v>193.62733326403222</v>
      </c>
      <c r="U52" s="8">
        <f>COS(S51)*COS($D$389)*COS($D$373)+SIN(S51)*SIN($D$389)</f>
        <v>0.0656535030951644</v>
      </c>
      <c r="V52" s="8">
        <f>COS($D$389)*COS($D$373)*(TAN($D$373)*COS(S54)-SIN(S51)*SIN(S54))+COS(S51)*SIN(S54)*SIN($D$389)</f>
        <v>0.8654773884038802</v>
      </c>
      <c r="AL52" s="9"/>
    </row>
    <row r="53" spans="1:38" s="8" customFormat="1" ht="12.75">
      <c r="A53" s="10">
        <f>($C$376+E51+F51/60)-INT(($C$376+E51+F51/60)/360)*360</f>
        <v>87.16575879862285</v>
      </c>
      <c r="B53" s="11">
        <f>TRUNC(A53)</f>
        <v>87</v>
      </c>
      <c r="C53" s="12">
        <f>(A53-B53)*60</f>
        <v>9.945527917370782</v>
      </c>
      <c r="D53" s="32" t="str">
        <f>IF(X51&gt;=0,"N","S")</f>
        <v>N</v>
      </c>
      <c r="E53" s="11">
        <f>ABS(TRUNC(X51))</f>
        <v>55</v>
      </c>
      <c r="F53" s="12">
        <f>ABS(X51-TRUNC(X51))*60</f>
        <v>53.60247584207542</v>
      </c>
      <c r="J53" s="8" t="s">
        <v>27</v>
      </c>
      <c r="K53" s="8">
        <f>45.45+K52*(1.067+K52*(-1/260-K52/718))</f>
        <v>13.703908433313437</v>
      </c>
      <c r="L53" s="8">
        <f>K53*L51</f>
        <v>0</v>
      </c>
      <c r="M53" s="30">
        <v>1.749</v>
      </c>
      <c r="N53" s="30">
        <v>35.36</v>
      </c>
      <c r="O53" s="31">
        <f>M54+O51/3600*$A$367</f>
        <v>193.50762894908883</v>
      </c>
      <c r="P53" s="31">
        <f>N54+P51/3600*$A$367</f>
        <v>55.95979475106321</v>
      </c>
      <c r="Q53" s="31">
        <f>SIN($F$381)*COS(P54)*COS(O54+$B$381)+COS($F$381)*SIN(P54)</f>
        <v>0.8280628653431988</v>
      </c>
      <c r="R53" s="31" t="s">
        <v>139</v>
      </c>
      <c r="S53" s="20" t="s">
        <v>119</v>
      </c>
      <c r="T53" s="20" t="s">
        <v>122</v>
      </c>
      <c r="U53" s="20" t="s">
        <v>121</v>
      </c>
      <c r="V53" s="20" t="s">
        <v>122</v>
      </c>
      <c r="W53" s="20" t="s">
        <v>130</v>
      </c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9"/>
    </row>
    <row r="54" spans="1:38" s="8" customFormat="1" ht="12.75">
      <c r="A54" s="16"/>
      <c r="B54" s="16"/>
      <c r="C54" s="16"/>
      <c r="D54" s="16"/>
      <c r="E54" s="16"/>
      <c r="F54" s="16"/>
      <c r="M54" s="24">
        <f>(M51+M52/60+M53/3600)*15</f>
        <v>193.50728750000002</v>
      </c>
      <c r="N54" s="24">
        <f>N51+N52/60+N53/3600</f>
        <v>55.95982222222222</v>
      </c>
      <c r="O54" s="8">
        <f>RADIANS(O53)</f>
        <v>3.3773452528890946</v>
      </c>
      <c r="P54" s="8">
        <f>RADIANS(P53)</f>
        <v>0.9766826671462936</v>
      </c>
      <c r="R54" s="8">
        <f>DEGREES(ASIN(Q53))</f>
        <v>55.90025863363103</v>
      </c>
      <c r="S54" s="8">
        <f>RADIANS(R54)</f>
        <v>0.9756435658732481</v>
      </c>
      <c r="T54" s="8">
        <f>SIN($D$373)*COS(S51)*$A$370+SIN(S51)*$A$373</f>
        <v>-3.269851345042337E-05</v>
      </c>
      <c r="U54" s="22">
        <f>($A$394*U51-U52)*$V$18/COS(S54)</f>
        <v>-1.1715994038484745E-05</v>
      </c>
      <c r="V54" s="22">
        <f>($A$394*V51-V52)*$V$18</f>
        <v>-8.745058516742832E-05</v>
      </c>
      <c r="W54" s="8">
        <f>360-W51</f>
        <v>166.36956790557818</v>
      </c>
      <c r="AL54" s="9"/>
    </row>
    <row r="55" spans="1:38" s="8" customFormat="1" ht="12.75">
      <c r="A55" s="16" t="s">
        <v>140</v>
      </c>
      <c r="B55" s="16" t="s">
        <v>140</v>
      </c>
      <c r="C55" s="16" t="s">
        <v>140</v>
      </c>
      <c r="D55" s="16" t="s">
        <v>140</v>
      </c>
      <c r="E55" s="16" t="s">
        <v>140</v>
      </c>
      <c r="F55" s="16" t="s">
        <v>140</v>
      </c>
      <c r="J55" s="8" t="s">
        <v>53</v>
      </c>
      <c r="K55" s="8" t="s">
        <v>54</v>
      </c>
      <c r="L55" s="8" t="b">
        <f>AND(1986&lt;A2,A2&lt;=2005)</f>
        <v>0</v>
      </c>
      <c r="M55" s="16" t="s">
        <v>140</v>
      </c>
      <c r="N55" s="16" t="s">
        <v>171</v>
      </c>
      <c r="O55" s="16" t="s">
        <v>140</v>
      </c>
      <c r="P55" s="16" t="s">
        <v>140</v>
      </c>
      <c r="Q55" s="16" t="s">
        <v>140</v>
      </c>
      <c r="R55" s="16" t="s">
        <v>140</v>
      </c>
      <c r="S55" s="16" t="s">
        <v>140</v>
      </c>
      <c r="T55" s="16" t="s">
        <v>171</v>
      </c>
      <c r="U55" s="16" t="s">
        <v>140</v>
      </c>
      <c r="V55" s="16" t="s">
        <v>140</v>
      </c>
      <c r="W55" s="16" t="s">
        <v>140</v>
      </c>
      <c r="X55" s="16" t="s">
        <v>140</v>
      </c>
      <c r="Y55" s="16" t="s">
        <v>140</v>
      </c>
      <c r="Z55" s="16" t="s">
        <v>171</v>
      </c>
      <c r="AA55" s="16" t="s">
        <v>140</v>
      </c>
      <c r="AB55" s="16" t="s">
        <v>140</v>
      </c>
      <c r="AC55" s="16" t="s">
        <v>140</v>
      </c>
      <c r="AD55" s="16" t="s">
        <v>140</v>
      </c>
      <c r="AE55" s="16" t="s">
        <v>140</v>
      </c>
      <c r="AF55" s="16" t="s">
        <v>171</v>
      </c>
      <c r="AG55" s="16" t="s">
        <v>140</v>
      </c>
      <c r="AH55" s="16" t="s">
        <v>140</v>
      </c>
      <c r="AI55" s="16" t="s">
        <v>140</v>
      </c>
      <c r="AJ55" s="16" t="s">
        <v>140</v>
      </c>
      <c r="AK55" s="16" t="s">
        <v>140</v>
      </c>
      <c r="AL55" s="9"/>
    </row>
    <row r="56" spans="1:38" s="8" customFormat="1" ht="12.75">
      <c r="A56" s="16"/>
      <c r="B56" s="16"/>
      <c r="C56" s="16"/>
      <c r="D56" s="16"/>
      <c r="E56" s="16"/>
      <c r="F56" s="16"/>
      <c r="J56" s="8" t="s">
        <v>34</v>
      </c>
      <c r="K56" s="8">
        <f>K9-2000</f>
        <v>11.041666666666742</v>
      </c>
      <c r="M56" s="23" t="s">
        <v>104</v>
      </c>
      <c r="N56" s="23" t="s">
        <v>139</v>
      </c>
      <c r="O56" s="23" t="s">
        <v>106</v>
      </c>
      <c r="P56" s="23" t="s">
        <v>107</v>
      </c>
      <c r="Q56" s="8" t="s">
        <v>114</v>
      </c>
      <c r="R56" s="8" t="s">
        <v>104</v>
      </c>
      <c r="S56" s="8" t="s">
        <v>118</v>
      </c>
      <c r="T56" s="8" t="s">
        <v>121</v>
      </c>
      <c r="U56" s="8" t="s">
        <v>125</v>
      </c>
      <c r="V56" s="8" t="s">
        <v>126</v>
      </c>
      <c r="W56" s="8" t="s">
        <v>104</v>
      </c>
      <c r="X56" s="8" t="s">
        <v>139</v>
      </c>
      <c r="Y56" s="8" t="s">
        <v>67</v>
      </c>
      <c r="Z56" s="8" t="s">
        <v>68</v>
      </c>
      <c r="AA56" s="8" t="s">
        <v>69</v>
      </c>
      <c r="AB56" s="8" t="s">
        <v>74</v>
      </c>
      <c r="AC56" s="8" t="s">
        <v>73</v>
      </c>
      <c r="AD56" s="8" t="s">
        <v>70</v>
      </c>
      <c r="AE56" s="24" t="s">
        <v>75</v>
      </c>
      <c r="AF56" s="8" t="s">
        <v>71</v>
      </c>
      <c r="AG56" s="8" t="s">
        <v>72</v>
      </c>
      <c r="AH56" s="25" t="s">
        <v>76</v>
      </c>
      <c r="AI56" s="25" t="s">
        <v>77</v>
      </c>
      <c r="AJ56" s="24" t="s">
        <v>78</v>
      </c>
      <c r="AK56" s="24" t="s">
        <v>79</v>
      </c>
      <c r="AL56" s="9"/>
    </row>
    <row r="57" spans="1:38" s="8" customFormat="1" ht="12.75">
      <c r="A57" s="16" t="s">
        <v>171</v>
      </c>
      <c r="B57" s="26">
        <v>34</v>
      </c>
      <c r="C57" s="27">
        <v>1.9</v>
      </c>
      <c r="D57" s="18" t="s">
        <v>165</v>
      </c>
      <c r="E57" s="11">
        <f>TRUNC(W60)</f>
        <v>153</v>
      </c>
      <c r="F57" s="12">
        <f>ABS(W60-E57)*60</f>
        <v>0.3407730974475953</v>
      </c>
      <c r="J57" s="8" t="s">
        <v>27</v>
      </c>
      <c r="K57" s="8">
        <f>63.86+K56*(0.3345+K56*(-0.060374+K56*(0.0017275+K56*(0.000651814+0.00002373599*K56))))</f>
        <v>76.10254756887664</v>
      </c>
      <c r="L57" s="8">
        <f>K57*L55</f>
        <v>0</v>
      </c>
      <c r="M57" s="23">
        <v>13</v>
      </c>
      <c r="N57" s="23">
        <v>49</v>
      </c>
      <c r="O57" s="23">
        <v>-0.12123</v>
      </c>
      <c r="P57" s="23">
        <v>-0.01556</v>
      </c>
      <c r="Q57" s="8">
        <f>COS(P60)*SIN(O60+$B$381)</f>
        <v>-0.2955134234085389</v>
      </c>
      <c r="R57" s="8">
        <f>DEGREES(ATAN2(Q58,Q57))+$C$381</f>
        <v>-153.0065056148295</v>
      </c>
      <c r="S57" s="8">
        <f>RADIANS(R58)</f>
        <v>3.6127180072296206</v>
      </c>
      <c r="T57" s="8">
        <f>(COS($D$373)+SIN($D$373)*SIN(S57)*TAN(S60))*$A$370-COS(S57)*TAN(S60)*$A$373</f>
        <v>5.9817936187138927E-05</v>
      </c>
      <c r="U57" s="8">
        <f>COS(S57)*COS($D$394)*COS($D$373)+SIN(S57)*SIN($D$394)</f>
        <v>-0.256365072088623</v>
      </c>
      <c r="V57" s="8">
        <f>COS($D$394)*COS($D$373)*(TAN($D$373)*COS(S60)-SIN(S57)*SIN(S60))+COS(S57)*SIN(S60)*SIN($D$394)</f>
        <v>-0.7880910132480579</v>
      </c>
      <c r="W57" s="8">
        <f>DEGREES(U60+T57+S57)</f>
        <v>206.99432044837587</v>
      </c>
      <c r="X57" s="8">
        <f>DEGREES(V60+T60+S60)</f>
        <v>49.252440178681546</v>
      </c>
      <c r="Y57" s="28">
        <f>V60+T60+S60</f>
        <v>0.8596172457595372</v>
      </c>
      <c r="Z57" s="8">
        <f>RADIANS(A59)</f>
        <v>1.2880856333897621</v>
      </c>
      <c r="AA57" s="8">
        <f>Z57+$K$2</f>
        <v>-0.8063094690034331</v>
      </c>
      <c r="AB57" s="8">
        <f>DEGREES(AA57)</f>
        <v>-46.19812955533119</v>
      </c>
      <c r="AC57" s="8">
        <f>AB57-INT(AB57/360)*360</f>
        <v>313.8018704446688</v>
      </c>
      <c r="AD57" s="28">
        <f>SIN(Y57)*SIN($J$2)+COS(Y57)*COS($J$2)*COS(AA57)</f>
        <v>0.012470641661607273</v>
      </c>
      <c r="AE57" s="28">
        <f>ASIN(AD57)</f>
        <v>0.012470964916825906</v>
      </c>
      <c r="AF57" s="28">
        <f>(SIN(Y57)-SIN($J$2)*AD57)/(COS($J$2)*COS(AE57))</f>
        <v>0.8820613144759245</v>
      </c>
      <c r="AG57" s="8">
        <f>DEGREES(ACOS(AF57))</f>
        <v>28.107972914277088</v>
      </c>
      <c r="AH57" s="8">
        <f>IF(AC57&gt;180,AG57,360-AG57)</f>
        <v>28.107972914277088</v>
      </c>
      <c r="AI57" s="8">
        <f>DEGREES(AE57)</f>
        <v>0.7145336561898421</v>
      </c>
      <c r="AJ57" s="28">
        <f>$C$5-AI57</f>
        <v>66.14213301047683</v>
      </c>
      <c r="AK57" s="29">
        <f>$D$5-AH57</f>
        <v>199.7920270857229</v>
      </c>
      <c r="AL57" s="9">
        <f>AJ57*AJ57+AK57*AK57</f>
        <v>44291.635846197845</v>
      </c>
    </row>
    <row r="58" spans="1:38" s="8" customFormat="1" ht="12.75">
      <c r="A58" s="16" t="s">
        <v>137</v>
      </c>
      <c r="B58" s="16" t="s">
        <v>138</v>
      </c>
      <c r="C58" s="16" t="s">
        <v>135</v>
      </c>
      <c r="D58" s="16" t="s">
        <v>139</v>
      </c>
      <c r="E58" s="16" t="s">
        <v>138</v>
      </c>
      <c r="F58" s="16" t="s">
        <v>135</v>
      </c>
      <c r="J58" s="15"/>
      <c r="K58" s="15"/>
      <c r="L58" s="15"/>
      <c r="M58" s="23">
        <v>47</v>
      </c>
      <c r="N58" s="23">
        <v>18</v>
      </c>
      <c r="O58" s="8" t="s">
        <v>110</v>
      </c>
      <c r="P58" s="8" t="s">
        <v>111</v>
      </c>
      <c r="Q58" s="8">
        <f>COS($F$381)*COS(P60)*COS(O60+$B$381)-SIN($F$381)*SIN(P60)</f>
        <v>-0.5819092472681281</v>
      </c>
      <c r="R58" s="8">
        <f>R57-360*INT(R57/360)</f>
        <v>206.9934943851705</v>
      </c>
      <c r="U58" s="8">
        <f>COS(S57)*COS($D$389)*COS($D$373)+SIN(S57)*SIN($D$389)</f>
        <v>0.2939148712397257</v>
      </c>
      <c r="V58" s="8">
        <f>COS($D$389)*COS($D$373)*(TAN($D$373)*COS(S60)-SIN(S57)*SIN(S60))+COS(S57)*SIN(S60)*SIN($D$389)</f>
        <v>0.7703078877777615</v>
      </c>
      <c r="AL58" s="9"/>
    </row>
    <row r="59" spans="1:38" s="8" customFormat="1" ht="12.75">
      <c r="A59" s="10">
        <f>($C$376+E57+F57/60)-INT(($C$376+E57+F57/60)/360)*360</f>
        <v>73.8018704446688</v>
      </c>
      <c r="B59" s="11">
        <f>TRUNC(A59)</f>
        <v>73</v>
      </c>
      <c r="C59" s="12">
        <f>(A59-B59)*60</f>
        <v>48.112226680127606</v>
      </c>
      <c r="D59" s="32" t="str">
        <f>IF(X57&gt;=0,"N","S")</f>
        <v>N</v>
      </c>
      <c r="E59" s="11">
        <f>ABS(TRUNC(X57))</f>
        <v>49</v>
      </c>
      <c r="F59" s="12">
        <f>ABS(X57-TRUNC(X57))*60</f>
        <v>15.14641072089276</v>
      </c>
      <c r="J59" s="8" t="s">
        <v>55</v>
      </c>
      <c r="K59" s="8" t="s">
        <v>56</v>
      </c>
      <c r="L59" s="8" t="b">
        <f>AND(2005&lt;A2,A2&lt;=2050)</f>
        <v>1</v>
      </c>
      <c r="M59" s="30">
        <v>32.438</v>
      </c>
      <c r="N59" s="30">
        <v>47.75</v>
      </c>
      <c r="O59" s="31">
        <f>M60+O57/3600*$A$367</f>
        <v>206.88478788521238</v>
      </c>
      <c r="P59" s="31">
        <f>N60+P57/3600*$A$367</f>
        <v>49.31321634147684</v>
      </c>
      <c r="Q59" s="31">
        <f>SIN($F$381)*COS(P60)*COS(O60+$B$381)+COS($F$381)*SIN(P60)</f>
        <v>0.7576631471367774</v>
      </c>
      <c r="R59" s="31" t="s">
        <v>139</v>
      </c>
      <c r="S59" s="20" t="s">
        <v>119</v>
      </c>
      <c r="T59" s="20" t="s">
        <v>122</v>
      </c>
      <c r="U59" s="20" t="s">
        <v>121</v>
      </c>
      <c r="V59" s="20" t="s">
        <v>122</v>
      </c>
      <c r="W59" s="20" t="s">
        <v>130</v>
      </c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9"/>
    </row>
    <row r="60" spans="1:38" s="8" customFormat="1" ht="12.75">
      <c r="A60" s="16"/>
      <c r="B60" s="16"/>
      <c r="C60" s="16"/>
      <c r="D60" s="16"/>
      <c r="E60" s="16"/>
      <c r="F60" s="16"/>
      <c r="J60" s="8" t="s">
        <v>34</v>
      </c>
      <c r="K60" s="8">
        <f>K9-2000</f>
        <v>11.041666666666742</v>
      </c>
      <c r="M60" s="24">
        <f>(M57+M58/60+M59/3600)*15</f>
        <v>206.88515833333332</v>
      </c>
      <c r="N60" s="24">
        <f>N57+N58/60+N59/3600</f>
        <v>49.31326388888888</v>
      </c>
      <c r="O60" s="8">
        <f>RADIANS(O59)</f>
        <v>3.6108207208870327</v>
      </c>
      <c r="P60" s="8">
        <f>RADIANS(P59)</f>
        <v>0.8606779899070431</v>
      </c>
      <c r="R60" s="8">
        <f>DEGREES(ASIN(Q59))</f>
        <v>49.258616956416745</v>
      </c>
      <c r="S60" s="8">
        <f>RADIANS(R60)</f>
        <v>0.8597250508681804</v>
      </c>
      <c r="T60" s="8">
        <f>SIN($D$373)*COS(S57)*$A$370+SIN(S57)*$A$373</f>
        <v>-2.995533024835503E-05</v>
      </c>
      <c r="U60" s="22">
        <f>($A$394*U57-U58)*$V$18/COS(S60)</f>
        <v>-4.54004134235419E-05</v>
      </c>
      <c r="V60" s="22">
        <f>($A$394*V57-V58)*$V$18</f>
        <v>-7.784977839475704E-05</v>
      </c>
      <c r="W60" s="8">
        <f>360-W57</f>
        <v>153.00567955162413</v>
      </c>
      <c r="AL60" s="9"/>
    </row>
    <row r="61" spans="1:38" s="8" customFormat="1" ht="12.75">
      <c r="A61" s="16" t="s">
        <v>140</v>
      </c>
      <c r="B61" s="16" t="s">
        <v>140</v>
      </c>
      <c r="C61" s="16" t="s">
        <v>140</v>
      </c>
      <c r="D61" s="16" t="s">
        <v>140</v>
      </c>
      <c r="E61" s="16" t="s">
        <v>140</v>
      </c>
      <c r="F61" s="16" t="s">
        <v>140</v>
      </c>
      <c r="J61" s="8" t="s">
        <v>27</v>
      </c>
      <c r="K61" s="8">
        <f>62.92+K60*(0.32217+0.005589*K60)</f>
        <v>67.15869570312503</v>
      </c>
      <c r="L61" s="8">
        <f>K61*L59</f>
        <v>67.15869570312503</v>
      </c>
      <c r="M61" s="16" t="s">
        <v>140</v>
      </c>
      <c r="N61" s="16" t="s">
        <v>172</v>
      </c>
      <c r="O61" s="16" t="s">
        <v>140</v>
      </c>
      <c r="P61" s="16" t="s">
        <v>140</v>
      </c>
      <c r="Q61" s="16" t="s">
        <v>140</v>
      </c>
      <c r="R61" s="16" t="s">
        <v>140</v>
      </c>
      <c r="S61" s="16" t="s">
        <v>140</v>
      </c>
      <c r="T61" s="16" t="s">
        <v>172</v>
      </c>
      <c r="U61" s="16" t="s">
        <v>140</v>
      </c>
      <c r="V61" s="16" t="s">
        <v>140</v>
      </c>
      <c r="W61" s="16" t="s">
        <v>140</v>
      </c>
      <c r="X61" s="16" t="s">
        <v>140</v>
      </c>
      <c r="Y61" s="16" t="s">
        <v>140</v>
      </c>
      <c r="Z61" s="16" t="s">
        <v>172</v>
      </c>
      <c r="AA61" s="16" t="s">
        <v>140</v>
      </c>
      <c r="AB61" s="16" t="s">
        <v>140</v>
      </c>
      <c r="AC61" s="16" t="s">
        <v>140</v>
      </c>
      <c r="AD61" s="16" t="s">
        <v>140</v>
      </c>
      <c r="AE61" s="16" t="s">
        <v>140</v>
      </c>
      <c r="AF61" s="16" t="s">
        <v>172</v>
      </c>
      <c r="AG61" s="16" t="s">
        <v>140</v>
      </c>
      <c r="AH61" s="16" t="s">
        <v>140</v>
      </c>
      <c r="AI61" s="16" t="s">
        <v>140</v>
      </c>
      <c r="AJ61" s="16" t="s">
        <v>140</v>
      </c>
      <c r="AK61" s="16" t="s">
        <v>140</v>
      </c>
      <c r="AL61" s="9"/>
    </row>
    <row r="62" spans="1:38" s="8" customFormat="1" ht="12.75">
      <c r="A62" s="16"/>
      <c r="B62" s="16"/>
      <c r="C62" s="16"/>
      <c r="D62" s="16"/>
      <c r="E62" s="16"/>
      <c r="F62" s="16"/>
      <c r="M62" s="23" t="s">
        <v>104</v>
      </c>
      <c r="N62" s="23" t="s">
        <v>139</v>
      </c>
      <c r="O62" s="23" t="s">
        <v>106</v>
      </c>
      <c r="P62" s="23" t="s">
        <v>107</v>
      </c>
      <c r="Q62" s="8" t="s">
        <v>114</v>
      </c>
      <c r="R62" s="8" t="s">
        <v>104</v>
      </c>
      <c r="S62" s="8" t="s">
        <v>118</v>
      </c>
      <c r="T62" s="8" t="s">
        <v>121</v>
      </c>
      <c r="U62" s="8" t="s">
        <v>125</v>
      </c>
      <c r="V62" s="8" t="s">
        <v>126</v>
      </c>
      <c r="W62" s="8" t="s">
        <v>104</v>
      </c>
      <c r="X62" s="8" t="s">
        <v>139</v>
      </c>
      <c r="Y62" s="8" t="s">
        <v>67</v>
      </c>
      <c r="Z62" s="8" t="s">
        <v>68</v>
      </c>
      <c r="AA62" s="8" t="s">
        <v>69</v>
      </c>
      <c r="AB62" s="8" t="s">
        <v>74</v>
      </c>
      <c r="AC62" s="8" t="s">
        <v>73</v>
      </c>
      <c r="AD62" s="8" t="s">
        <v>70</v>
      </c>
      <c r="AE62" s="24" t="s">
        <v>75</v>
      </c>
      <c r="AF62" s="8" t="s">
        <v>71</v>
      </c>
      <c r="AG62" s="8" t="s">
        <v>72</v>
      </c>
      <c r="AH62" s="25" t="s">
        <v>76</v>
      </c>
      <c r="AI62" s="25" t="s">
        <v>77</v>
      </c>
      <c r="AJ62" s="24" t="s">
        <v>78</v>
      </c>
      <c r="AK62" s="24" t="s">
        <v>79</v>
      </c>
      <c r="AL62" s="9"/>
    </row>
    <row r="63" spans="1:38" s="8" customFormat="1" ht="12.75">
      <c r="A63" s="16" t="s">
        <v>172</v>
      </c>
      <c r="B63" s="26">
        <v>55</v>
      </c>
      <c r="C63" s="27">
        <v>1.7</v>
      </c>
      <c r="D63" s="18" t="s">
        <v>165</v>
      </c>
      <c r="E63" s="11">
        <f>TRUNC(W66)</f>
        <v>27</v>
      </c>
      <c r="F63" s="12">
        <f>ABS(W66-E63)*60</f>
        <v>46.17155300504578</v>
      </c>
      <c r="J63" s="15" t="s">
        <v>57</v>
      </c>
      <c r="K63" s="15" t="s">
        <v>58</v>
      </c>
      <c r="L63" s="15" t="b">
        <f>AND(2050&lt;A2,A2&lt;=2150)</f>
        <v>0</v>
      </c>
      <c r="M63" s="23">
        <v>22</v>
      </c>
      <c r="N63" s="23">
        <v>-46</v>
      </c>
      <c r="O63" s="23">
        <v>0.1276</v>
      </c>
      <c r="P63" s="23">
        <v>-0.14791</v>
      </c>
      <c r="Q63" s="8">
        <f>COS(P66)*SIN(O66+$B$381)</f>
        <v>-0.31905090384522106</v>
      </c>
      <c r="R63" s="8">
        <f>DEGREES(ATAN2(Q64,Q63))+$C$381</f>
        <v>-27.769769036672514</v>
      </c>
      <c r="S63" s="8">
        <f>RADIANS(R64)</f>
        <v>5.7985114049712765</v>
      </c>
      <c r="T63" s="8">
        <f>(COS($D$373)+SIN($D$373)*SIN(S63)*TAN(S66))*$A$370-COS(S63)*TAN(S66)*$A$373</f>
        <v>9.433821581647457E-05</v>
      </c>
      <c r="U63" s="8">
        <f>COS(S63)*COS($D$394)*COS($D$373)+SIN(S63)*SIN($D$394)</f>
        <v>-0.6381120631667856</v>
      </c>
      <c r="V63" s="8">
        <f>COS($D$394)*COS($D$373)*(TAN($D$373)*COS(S66)-SIN(S63)*SIN(S66))+COS(S63)*SIN(S66)*SIN($D$394)</f>
        <v>-0.6200798657303945</v>
      </c>
      <c r="W63" s="8">
        <f>DEGREES(U66+T63+S63)</f>
        <v>332.23047411658257</v>
      </c>
      <c r="X63" s="8">
        <f>DEGREES(V66+T66+S66)</f>
        <v>-46.90919913575012</v>
      </c>
      <c r="Y63" s="28">
        <f>V66+T66+S66</f>
        <v>-0.8187199743925181</v>
      </c>
      <c r="Z63" s="8">
        <f>RADIANS(A65)</f>
        <v>5.385487716525568</v>
      </c>
      <c r="AA63" s="8">
        <f>Z63+$K$2</f>
        <v>3.291092614132373</v>
      </c>
      <c r="AB63" s="8">
        <f>DEGREES(AA63)</f>
        <v>188.56571677646215</v>
      </c>
      <c r="AC63" s="8">
        <f>AB63-INT(AB63/360)*360</f>
        <v>188.56571677646215</v>
      </c>
      <c r="AD63" s="28">
        <f>SIN(Y63)*SIN($J$2)+COS(Y63)*COS($J$2)*COS(AA63)</f>
        <v>-0.21989568665372977</v>
      </c>
      <c r="AE63" s="28">
        <f>ASIN(AD63)</f>
        <v>-0.2217075385620092</v>
      </c>
      <c r="AF63" s="28">
        <f>(SIN(Y63)-SIN($J$2)*AD63)/(COS($J$2)*COS(AE63))</f>
        <v>-0.9945453690582897</v>
      </c>
      <c r="AG63" s="8">
        <f>DEGREES(ACOS(AF63))</f>
        <v>174.0128805420941</v>
      </c>
      <c r="AH63" s="8">
        <f>IF(AC63&gt;180,AG63,360-AG63)</f>
        <v>174.0128805420941</v>
      </c>
      <c r="AI63" s="8">
        <f>DEGREES(AE63)</f>
        <v>-12.702906245837076</v>
      </c>
      <c r="AJ63" s="28">
        <f>$C$5-AI63</f>
        <v>79.55957291250374</v>
      </c>
      <c r="AK63" s="29">
        <f>$D$5-AH63</f>
        <v>53.8871194579059</v>
      </c>
      <c r="AL63" s="9">
        <f>AJ63*AJ63+AK63*AK63</f>
        <v>9233.547285490618</v>
      </c>
    </row>
    <row r="64" spans="1:38" s="8" customFormat="1" ht="12.75">
      <c r="A64" s="16" t="s">
        <v>137</v>
      </c>
      <c r="B64" s="16" t="s">
        <v>138</v>
      </c>
      <c r="C64" s="16" t="s">
        <v>135</v>
      </c>
      <c r="D64" s="16" t="s">
        <v>139</v>
      </c>
      <c r="E64" s="16" t="s">
        <v>138</v>
      </c>
      <c r="F64" s="16" t="s">
        <v>135</v>
      </c>
      <c r="J64" s="8" t="s">
        <v>27</v>
      </c>
      <c r="K64" s="8">
        <f>-20+32*((K9-1820)/100)*((K9-1820)/100)-0.5628*(2150-K9)</f>
        <v>18.584388888889023</v>
      </c>
      <c r="L64" s="8">
        <f>K64*L63</f>
        <v>0</v>
      </c>
      <c r="M64" s="23">
        <v>8</v>
      </c>
      <c r="N64" s="23">
        <v>-57</v>
      </c>
      <c r="O64" s="8" t="s">
        <v>110</v>
      </c>
      <c r="P64" s="8" t="s">
        <v>111</v>
      </c>
      <c r="Q64" s="8">
        <f>COS($F$381)*COS(P66)*COS(O66+$B$381)-SIN($F$381)*SIN(P66)</f>
        <v>0.6041049741168573</v>
      </c>
      <c r="R64" s="8">
        <f>R63-360*INT(R63/360)</f>
        <v>332.2302309633275</v>
      </c>
      <c r="U64" s="8">
        <f>COS(S63)*COS($D$389)*COS($D$373)+SIN(S63)*SIN($D$389)</f>
        <v>0.6087816672052256</v>
      </c>
      <c r="V64" s="8">
        <f>COS($D$389)*COS($D$373)*(TAN($D$373)*COS(S66)-SIN(S63)*SIN(S66))+COS(S63)*SIN(S66)*SIN($D$389)</f>
        <v>0.6273506961847053</v>
      </c>
      <c r="AL64" s="9"/>
    </row>
    <row r="65" spans="1:38" s="8" customFormat="1" ht="12.75">
      <c r="A65" s="10">
        <f>($C$376+E63+F63/60)-INT(($C$376+E63+F63/60)/360)*360</f>
        <v>308.5657167764621</v>
      </c>
      <c r="B65" s="11">
        <f>TRUNC(A65)</f>
        <v>308</v>
      </c>
      <c r="C65" s="12">
        <f>(A65-B65)*60</f>
        <v>33.943006587727496</v>
      </c>
      <c r="D65" s="32" t="str">
        <f>IF(X63&gt;=0,"N","S")</f>
        <v>S</v>
      </c>
      <c r="E65" s="11">
        <f>ABS(TRUNC(X63))</f>
        <v>46</v>
      </c>
      <c r="F65" s="12">
        <f>ABS(X63-TRUNC(X63))*60</f>
        <v>54.55194814500729</v>
      </c>
      <c r="M65" s="30">
        <v>13.986</v>
      </c>
      <c r="N65" s="30">
        <v>-39.51</v>
      </c>
      <c r="O65" s="31">
        <f>M66+O63/3600*$A$367</f>
        <v>332.0586649132247</v>
      </c>
      <c r="P65" s="31">
        <f>N66+P63/3600*$A$367</f>
        <v>-46.96142697543157</v>
      </c>
      <c r="Q65" s="31">
        <f>SIN($F$381)*COS(P66)*COS(O66+$B$381)+COS($F$381)*SIN(P66)</f>
        <v>-0.73024906778634</v>
      </c>
      <c r="R65" s="31" t="s">
        <v>139</v>
      </c>
      <c r="S65" s="20" t="s">
        <v>119</v>
      </c>
      <c r="T65" s="20" t="s">
        <v>122</v>
      </c>
      <c r="U65" s="20" t="s">
        <v>121</v>
      </c>
      <c r="V65" s="20" t="s">
        <v>122</v>
      </c>
      <c r="W65" s="20" t="s">
        <v>130</v>
      </c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9"/>
    </row>
    <row r="66" spans="1:38" s="8" customFormat="1" ht="12.75">
      <c r="A66" s="16"/>
      <c r="B66" s="16"/>
      <c r="C66" s="16"/>
      <c r="D66" s="16"/>
      <c r="E66" s="16"/>
      <c r="F66" s="16"/>
      <c r="M66" s="24">
        <f>(M63+M64/60+M65/3600)*15</f>
        <v>332.058275</v>
      </c>
      <c r="N66" s="24">
        <f>N63+N64/60+N65/3600</f>
        <v>-46.960975000000005</v>
      </c>
      <c r="O66" s="8">
        <f>RADIANS(O65)</f>
        <v>5.795517012512342</v>
      </c>
      <c r="P66" s="8">
        <f>RADIANS(P65)</f>
        <v>-0.8196315221561632</v>
      </c>
      <c r="R66" s="8">
        <f>DEGREES(ASIN(Q65))</f>
        <v>-46.907278349086106</v>
      </c>
      <c r="S66" s="8">
        <f>RADIANS(R66)</f>
        <v>-0.8186864503410026</v>
      </c>
      <c r="T66" s="8">
        <f>SIN($D$373)*COS(S63)*$A$370+SIN(S63)*$A$373</f>
        <v>2.9841909295223936E-05</v>
      </c>
      <c r="U66" s="22">
        <f>($A$394*U63-U64)*$V$18/COS(S66)</f>
        <v>-9.009439092777406E-05</v>
      </c>
      <c r="V66" s="22">
        <f>($A$394*V63-V64)*$V$18</f>
        <v>-6.336596081070793E-05</v>
      </c>
      <c r="W66" s="8">
        <f>360-W63</f>
        <v>27.76952588341743</v>
      </c>
      <c r="AL66" s="9"/>
    </row>
    <row r="67" spans="1:38" s="8" customFormat="1" ht="12.75">
      <c r="A67" s="16" t="s">
        <v>140</v>
      </c>
      <c r="B67" s="16" t="s">
        <v>140</v>
      </c>
      <c r="C67" s="16" t="s">
        <v>140</v>
      </c>
      <c r="D67" s="16" t="s">
        <v>140</v>
      </c>
      <c r="E67" s="16" t="s">
        <v>140</v>
      </c>
      <c r="F67" s="16" t="s">
        <v>140</v>
      </c>
      <c r="M67" s="16" t="s">
        <v>140</v>
      </c>
      <c r="N67" s="16" t="s">
        <v>173</v>
      </c>
      <c r="O67" s="16" t="s">
        <v>140</v>
      </c>
      <c r="P67" s="16" t="s">
        <v>140</v>
      </c>
      <c r="Q67" s="16" t="s">
        <v>140</v>
      </c>
      <c r="R67" s="16" t="s">
        <v>140</v>
      </c>
      <c r="S67" s="16" t="s">
        <v>140</v>
      </c>
      <c r="T67" s="16" t="s">
        <v>173</v>
      </c>
      <c r="U67" s="16" t="s">
        <v>140</v>
      </c>
      <c r="V67" s="16" t="s">
        <v>140</v>
      </c>
      <c r="W67" s="16" t="s">
        <v>140</v>
      </c>
      <c r="X67" s="16" t="s">
        <v>140</v>
      </c>
      <c r="Y67" s="16" t="s">
        <v>140</v>
      </c>
      <c r="Z67" s="16" t="s">
        <v>173</v>
      </c>
      <c r="AA67" s="16" t="s">
        <v>140</v>
      </c>
      <c r="AB67" s="16" t="s">
        <v>140</v>
      </c>
      <c r="AC67" s="16" t="s">
        <v>140</v>
      </c>
      <c r="AD67" s="16" t="s">
        <v>140</v>
      </c>
      <c r="AE67" s="16" t="s">
        <v>140</v>
      </c>
      <c r="AF67" s="16" t="s">
        <v>173</v>
      </c>
      <c r="AG67" s="16" t="s">
        <v>140</v>
      </c>
      <c r="AH67" s="16" t="s">
        <v>140</v>
      </c>
      <c r="AI67" s="16" t="s">
        <v>140</v>
      </c>
      <c r="AJ67" s="16" t="s">
        <v>140</v>
      </c>
      <c r="AK67" s="16" t="s">
        <v>140</v>
      </c>
      <c r="AL67" s="9"/>
    </row>
    <row r="68" spans="1:38" s="8" customFormat="1" ht="12.75">
      <c r="A68" s="16"/>
      <c r="B68" s="16"/>
      <c r="C68" s="16"/>
      <c r="D68" s="16"/>
      <c r="E68" s="16"/>
      <c r="F68" s="16"/>
      <c r="M68" s="23" t="s">
        <v>104</v>
      </c>
      <c r="N68" s="23" t="s">
        <v>139</v>
      </c>
      <c r="O68" s="23" t="s">
        <v>106</v>
      </c>
      <c r="P68" s="23" t="s">
        <v>107</v>
      </c>
      <c r="Q68" s="8" t="s">
        <v>114</v>
      </c>
      <c r="R68" s="8" t="s">
        <v>104</v>
      </c>
      <c r="S68" s="8" t="s">
        <v>118</v>
      </c>
      <c r="T68" s="8" t="s">
        <v>121</v>
      </c>
      <c r="U68" s="8" t="s">
        <v>125</v>
      </c>
      <c r="V68" s="8" t="s">
        <v>126</v>
      </c>
      <c r="W68" s="8" t="s">
        <v>104</v>
      </c>
      <c r="X68" s="8" t="s">
        <v>139</v>
      </c>
      <c r="Y68" s="8" t="s">
        <v>67</v>
      </c>
      <c r="Z68" s="8" t="s">
        <v>68</v>
      </c>
      <c r="AA68" s="8" t="s">
        <v>69</v>
      </c>
      <c r="AB68" s="8" t="s">
        <v>74</v>
      </c>
      <c r="AC68" s="8" t="s">
        <v>73</v>
      </c>
      <c r="AD68" s="8" t="s">
        <v>70</v>
      </c>
      <c r="AE68" s="24" t="s">
        <v>75</v>
      </c>
      <c r="AF68" s="8" t="s">
        <v>71</v>
      </c>
      <c r="AG68" s="8" t="s">
        <v>72</v>
      </c>
      <c r="AH68" s="25" t="s">
        <v>76</v>
      </c>
      <c r="AI68" s="25" t="s">
        <v>77</v>
      </c>
      <c r="AJ68" s="24" t="s">
        <v>78</v>
      </c>
      <c r="AK68" s="24" t="s">
        <v>79</v>
      </c>
      <c r="AL68" s="9"/>
    </row>
    <row r="69" spans="1:38" s="8" customFormat="1" ht="12.75">
      <c r="A69" s="16" t="s">
        <v>173</v>
      </c>
      <c r="B69" s="26">
        <v>15</v>
      </c>
      <c r="C69" s="27">
        <v>1.7</v>
      </c>
      <c r="D69" s="18" t="s">
        <v>165</v>
      </c>
      <c r="E69" s="11">
        <f>TRUNC(W72)</f>
        <v>275</v>
      </c>
      <c r="F69" s="12">
        <f>ABS(W72-E69)*60</f>
        <v>47.817933142272295</v>
      </c>
      <c r="J69" s="15"/>
      <c r="K69" s="15"/>
      <c r="L69" s="15"/>
      <c r="M69" s="23">
        <v>5</v>
      </c>
      <c r="N69" s="23">
        <v>-1</v>
      </c>
      <c r="O69" s="23">
        <v>0.00149</v>
      </c>
      <c r="P69" s="23">
        <v>-0.00106</v>
      </c>
      <c r="Q69" s="8">
        <f>COS(P72)*SIN(O72+$B$381)</f>
        <v>0.9945266829390812</v>
      </c>
      <c r="R69" s="8">
        <f>DEGREES(ATAN2(Q70,Q69))+$C$381</f>
        <v>84.19306623661488</v>
      </c>
      <c r="S69" s="8">
        <f>RADIANS(R70)</f>
        <v>1.469446213178601</v>
      </c>
      <c r="T69" s="8">
        <f>(COS($D$373)+SIN($D$373)*SIN(S69)*TAN(S72))*$A$370-COS(S69)*TAN(S72)*$A$373</f>
        <v>7.696909759200139E-05</v>
      </c>
      <c r="U69" s="8">
        <f>COS(S69)*COS($D$394)*COS($D$373)+SIN(S69)*SIN($D$394)</f>
        <v>0.9477919573956811</v>
      </c>
      <c r="V69" s="8">
        <f>COS($D$394)*COS($D$373)*(TAN($D$373)*COS(S72)-SIN(S69)*SIN(S72))+COS(S69)*SIN(S72)*SIN($D$394)</f>
        <v>-0.09669262798292633</v>
      </c>
      <c r="W69" s="8">
        <f>DEGREES(U72+T69+S69)</f>
        <v>84.20303444762881</v>
      </c>
      <c r="X69" s="8">
        <f>DEGREES(V72+T72+S72)</f>
        <v>-1.195924869794565</v>
      </c>
      <c r="Y69" s="28">
        <f>V72+T72+S72</f>
        <v>-0.02087282658439964</v>
      </c>
      <c r="Z69" s="8">
        <f>RADIANS(A71)</f>
        <v>3.4311978668608183</v>
      </c>
      <c r="AA69" s="8">
        <f>Z69+$K$2</f>
        <v>1.336802764467623</v>
      </c>
      <c r="AB69" s="8">
        <f>DEGREES(AA69)</f>
        <v>76.59315644541584</v>
      </c>
      <c r="AC69" s="8">
        <f>AB69-INT(AB69/360)*360</f>
        <v>76.59315644541584</v>
      </c>
      <c r="AD69" s="28">
        <f>SIN(Y69)*SIN($J$2)+COS(Y69)*COS($J$2)*COS(AA69)</f>
        <v>0.21119210976966873</v>
      </c>
      <c r="AE69" s="28">
        <f>ASIN(AD69)</f>
        <v>0.21279441819972258</v>
      </c>
      <c r="AF69" s="28">
        <f>(SIN(Y69)-SIN($J$2)*AD69)/(COS($J$2)*COS(AE69))</f>
        <v>0.10008926349239139</v>
      </c>
      <c r="AG69" s="8">
        <f>DEGREES(ACOS(AF69))</f>
        <v>84.25568931266413</v>
      </c>
      <c r="AH69" s="8">
        <f>IF(AC69&gt;180,AG69,360-AG69)</f>
        <v>275.7443106873359</v>
      </c>
      <c r="AI69" s="8">
        <f>DEGREES(AE69)</f>
        <v>12.192222066785938</v>
      </c>
      <c r="AJ69" s="28">
        <f>$C$5-AI69</f>
        <v>54.66444459988073</v>
      </c>
      <c r="AK69" s="29">
        <f>$D$5-AH69</f>
        <v>-47.84431068733588</v>
      </c>
      <c r="AL69" s="9">
        <f>AJ69*AJ69+AK69*AK69</f>
        <v>5277.279568559752</v>
      </c>
    </row>
    <row r="70" spans="1:38" s="8" customFormat="1" ht="12.75">
      <c r="A70" s="16" t="s">
        <v>137</v>
      </c>
      <c r="B70" s="16" t="s">
        <v>138</v>
      </c>
      <c r="C70" s="16" t="s">
        <v>135</v>
      </c>
      <c r="D70" s="16" t="s">
        <v>139</v>
      </c>
      <c r="E70" s="16" t="s">
        <v>138</v>
      </c>
      <c r="F70" s="16" t="s">
        <v>135</v>
      </c>
      <c r="M70" s="23">
        <v>36</v>
      </c>
      <c r="N70" s="23">
        <v>-12</v>
      </c>
      <c r="O70" s="8" t="s">
        <v>110</v>
      </c>
      <c r="P70" s="8" t="s">
        <v>111</v>
      </c>
      <c r="Q70" s="8">
        <f>COS($F$381)*COS(P72)*COS(O72+$B$381)-SIN($F$381)*SIN(P72)</f>
        <v>0.10237804527966975</v>
      </c>
      <c r="R70" s="8">
        <f>R69-360*INT(R69/360)</f>
        <v>84.19306623661488</v>
      </c>
      <c r="U70" s="8">
        <f>COS(S69)*COS($D$389)*COS($D$373)+SIN(S69)*SIN($D$389)</f>
        <v>-0.9602441627527448</v>
      </c>
      <c r="V70" s="8">
        <f>COS($D$389)*COS($D$373)*(TAN($D$373)*COS(S72)-SIN(S69)*SIN(S72))+COS(S69)*SIN(S72)*SIN($D$389)</f>
        <v>0.07957941880333096</v>
      </c>
      <c r="AL70" s="9"/>
    </row>
    <row r="71" spans="1:38" s="8" customFormat="1" ht="12.75">
      <c r="A71" s="10">
        <f>($C$376+E69+F69/60)-INT(($C$376+E69+F69/60)/360)*360</f>
        <v>196.59315644541584</v>
      </c>
      <c r="B71" s="11">
        <f>TRUNC(A71)</f>
        <v>196</v>
      </c>
      <c r="C71" s="12">
        <f>(A71-B71)*60</f>
        <v>35.5893867249506</v>
      </c>
      <c r="D71" s="32" t="str">
        <f>IF(X69&gt;=0,"N","S")</f>
        <v>S</v>
      </c>
      <c r="E71" s="11">
        <f>ABS(TRUNC(X69))</f>
        <v>1</v>
      </c>
      <c r="F71" s="12">
        <f>ABS(X69-TRUNC(X69))*60</f>
        <v>11.755492187673902</v>
      </c>
      <c r="M71" s="30">
        <v>12.813</v>
      </c>
      <c r="N71" s="30">
        <v>-6.91</v>
      </c>
      <c r="O71" s="31">
        <f>M72+O69/3600*$A$367</f>
        <v>84.05339205306194</v>
      </c>
      <c r="P71" s="31">
        <f>N72+P69/3600*$A$367</f>
        <v>-1.2019226835354961</v>
      </c>
      <c r="Q71" s="31">
        <f>SIN($F$381)*COS(P72)*COS(O72+$B$381)+COS($F$381)*SIN(P72)</f>
        <v>-0.020866546597411356</v>
      </c>
      <c r="R71" s="31" t="s">
        <v>139</v>
      </c>
      <c r="S71" s="20" t="s">
        <v>119</v>
      </c>
      <c r="T71" s="20" t="s">
        <v>122</v>
      </c>
      <c r="U71" s="20" t="s">
        <v>121</v>
      </c>
      <c r="V71" s="20" t="s">
        <v>122</v>
      </c>
      <c r="W71" s="20" t="s">
        <v>130</v>
      </c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9"/>
    </row>
    <row r="72" spans="1:38" s="8" customFormat="1" ht="12.75">
      <c r="A72" s="16"/>
      <c r="B72" s="16"/>
      <c r="C72" s="16"/>
      <c r="D72" s="16"/>
      <c r="E72" s="16"/>
      <c r="F72" s="16"/>
      <c r="M72" s="24">
        <f>(M69+M70/60+M71/3600)*15</f>
        <v>84.05338749999999</v>
      </c>
      <c r="N72" s="24">
        <f>N69+N70/60+N71/3600</f>
        <v>-1.2019194444444443</v>
      </c>
      <c r="O72" s="8">
        <f>RADIANS(O71)</f>
        <v>1.4670084387955673</v>
      </c>
      <c r="P72" s="8">
        <f>RADIANS(P71)</f>
        <v>-0.020977508182100247</v>
      </c>
      <c r="R72" s="8">
        <f>DEGREES(ASIN(Q71))</f>
        <v>-1.195651830763298</v>
      </c>
      <c r="S72" s="8">
        <f>RADIANS(R72)</f>
        <v>-0.020868061154317576</v>
      </c>
      <c r="T72" s="8">
        <f>SIN($D$373)*COS(S69)*$A$370+SIN(S69)*$A$373</f>
        <v>3.3024755879090936E-06</v>
      </c>
      <c r="U72" s="22">
        <f>($A$394*U69-U70)*$V$18/COS(S72)</f>
        <v>9.700900513462828E-05</v>
      </c>
      <c r="V72" s="22">
        <f>($A$394*V69-V70)*$V$18</f>
        <v>-8.067905669972878E-06</v>
      </c>
      <c r="W72" s="8">
        <f>360-W69</f>
        <v>275.7969655523712</v>
      </c>
      <c r="AL72" s="9"/>
    </row>
    <row r="73" spans="1:38" s="8" customFormat="1" ht="12.75">
      <c r="A73" s="16" t="s">
        <v>140</v>
      </c>
      <c r="B73" s="16" t="s">
        <v>140</v>
      </c>
      <c r="C73" s="16" t="s">
        <v>140</v>
      </c>
      <c r="D73" s="16" t="s">
        <v>140</v>
      </c>
      <c r="E73" s="16" t="s">
        <v>140</v>
      </c>
      <c r="F73" s="16" t="s">
        <v>140</v>
      </c>
      <c r="M73" s="16" t="s">
        <v>140</v>
      </c>
      <c r="N73" s="16" t="s">
        <v>174</v>
      </c>
      <c r="O73" s="16" t="s">
        <v>140</v>
      </c>
      <c r="P73" s="16" t="s">
        <v>140</v>
      </c>
      <c r="Q73" s="16" t="s">
        <v>140</v>
      </c>
      <c r="R73" s="16" t="s">
        <v>140</v>
      </c>
      <c r="S73" s="16" t="s">
        <v>140</v>
      </c>
      <c r="T73" s="16" t="s">
        <v>174</v>
      </c>
      <c r="U73" s="16" t="s">
        <v>140</v>
      </c>
      <c r="V73" s="16" t="s">
        <v>140</v>
      </c>
      <c r="W73" s="16" t="s">
        <v>140</v>
      </c>
      <c r="X73" s="16" t="s">
        <v>140</v>
      </c>
      <c r="Y73" s="16" t="s">
        <v>140</v>
      </c>
      <c r="Z73" s="16" t="s">
        <v>174</v>
      </c>
      <c r="AA73" s="16" t="s">
        <v>140</v>
      </c>
      <c r="AB73" s="16" t="s">
        <v>140</v>
      </c>
      <c r="AC73" s="16" t="s">
        <v>140</v>
      </c>
      <c r="AD73" s="16" t="s">
        <v>140</v>
      </c>
      <c r="AE73" s="16" t="s">
        <v>140</v>
      </c>
      <c r="AF73" s="16" t="s">
        <v>174</v>
      </c>
      <c r="AG73" s="16" t="s">
        <v>140</v>
      </c>
      <c r="AH73" s="16" t="s">
        <v>140</v>
      </c>
      <c r="AI73" s="16" t="s">
        <v>140</v>
      </c>
      <c r="AJ73" s="16" t="s">
        <v>140</v>
      </c>
      <c r="AK73" s="16" t="s">
        <v>140</v>
      </c>
      <c r="AL73" s="9"/>
    </row>
    <row r="74" spans="1:38" s="8" customFormat="1" ht="12.75">
      <c r="A74" s="16"/>
      <c r="B74" s="16"/>
      <c r="C74" s="16"/>
      <c r="D74" s="16"/>
      <c r="E74" s="16"/>
      <c r="F74" s="16"/>
      <c r="M74" s="23" t="s">
        <v>104</v>
      </c>
      <c r="N74" s="23" t="s">
        <v>139</v>
      </c>
      <c r="O74" s="23" t="s">
        <v>106</v>
      </c>
      <c r="P74" s="23" t="s">
        <v>107</v>
      </c>
      <c r="Q74" s="8" t="s">
        <v>114</v>
      </c>
      <c r="R74" s="8" t="s">
        <v>104</v>
      </c>
      <c r="S74" s="8" t="s">
        <v>118</v>
      </c>
      <c r="T74" s="8" t="s">
        <v>121</v>
      </c>
      <c r="U74" s="8" t="s">
        <v>125</v>
      </c>
      <c r="V74" s="8" t="s">
        <v>126</v>
      </c>
      <c r="W74" s="8" t="s">
        <v>104</v>
      </c>
      <c r="X74" s="8" t="s">
        <v>139</v>
      </c>
      <c r="Y74" s="8" t="s">
        <v>67</v>
      </c>
      <c r="Z74" s="8" t="s">
        <v>68</v>
      </c>
      <c r="AA74" s="8" t="s">
        <v>69</v>
      </c>
      <c r="AB74" s="8" t="s">
        <v>74</v>
      </c>
      <c r="AC74" s="8" t="s">
        <v>73</v>
      </c>
      <c r="AD74" s="8" t="s">
        <v>70</v>
      </c>
      <c r="AE74" s="24" t="s">
        <v>75</v>
      </c>
      <c r="AF74" s="8" t="s">
        <v>71</v>
      </c>
      <c r="AG74" s="8" t="s">
        <v>72</v>
      </c>
      <c r="AH74" s="25" t="s">
        <v>76</v>
      </c>
      <c r="AI74" s="25" t="s">
        <v>77</v>
      </c>
      <c r="AJ74" s="24" t="s">
        <v>78</v>
      </c>
      <c r="AK74" s="24" t="s">
        <v>79</v>
      </c>
      <c r="AL74" s="9"/>
    </row>
    <row r="75" spans="1:38" s="8" customFormat="1" ht="12.75">
      <c r="A75" s="16" t="s">
        <v>174</v>
      </c>
      <c r="B75" s="26">
        <v>25</v>
      </c>
      <c r="C75" s="27">
        <v>2</v>
      </c>
      <c r="D75" s="18" t="s">
        <v>165</v>
      </c>
      <c r="E75" s="11">
        <f>TRUNC(W78)</f>
        <v>217</v>
      </c>
      <c r="F75" s="12">
        <f>ABS(W78-E75)*60</f>
        <v>57.56479459299271</v>
      </c>
      <c r="M75" s="23">
        <v>9</v>
      </c>
      <c r="N75" s="23">
        <v>-8</v>
      </c>
      <c r="O75" s="23">
        <v>-0.01449</v>
      </c>
      <c r="P75" s="23">
        <v>0.03325</v>
      </c>
      <c r="Q75" s="8">
        <f>COS(P78)*SIN(O78+$B$381)</f>
        <v>0.6090897490609644</v>
      </c>
      <c r="R75" s="8">
        <f>DEGREES(ATAN2(Q76,Q75))+$C$381</f>
        <v>142.03198785924823</v>
      </c>
      <c r="S75" s="8">
        <f>RADIANS(R76)</f>
        <v>2.478925831296494</v>
      </c>
      <c r="T75" s="8">
        <f>(COS($D$373)+SIN($D$373)*SIN(S75)*TAN(S78))*$A$370-COS(S75)*TAN(S78)*$A$373</f>
        <v>7.450875551252012E-05</v>
      </c>
      <c r="U75" s="8">
        <f>COS(S75)*COS($D$394)*COS($D$373)+SIN(S75)*SIN($D$394)</f>
        <v>0.7634111260403498</v>
      </c>
      <c r="V75" s="8">
        <f>COS($D$394)*COS($D$373)*(TAN($D$373)*COS(S78)-SIN(S75)*SIN(S78))+COS(S75)*SIN(S78)*SIN($D$394)</f>
        <v>0.007525783343278164</v>
      </c>
      <c r="W75" s="8">
        <f>DEGREES(U78+T75+S75)</f>
        <v>142.04058675678345</v>
      </c>
      <c r="X75" s="8">
        <f>DEGREES(V78+T78+S78)</f>
        <v>-8.708102729895703</v>
      </c>
      <c r="Y75" s="28">
        <f>V78+T78+S78</f>
        <v>-0.15198506423858646</v>
      </c>
      <c r="Z75" s="8">
        <f>RADIANS(A77)</f>
        <v>2.4217421477716212</v>
      </c>
      <c r="AA75" s="8">
        <f>Z75+$K$2</f>
        <v>0.32734704537842596</v>
      </c>
      <c r="AB75" s="8">
        <f>DEGREES(AA75)</f>
        <v>18.755604136261248</v>
      </c>
      <c r="AC75" s="8">
        <f>AB75-INT(AB75/360)*360</f>
        <v>18.755604136261248</v>
      </c>
      <c r="AD75" s="28">
        <f>SIN(Y75)*SIN($J$2)+COS(Y75)*COS($J$2)*COS(AA75)</f>
        <v>0.8862856178577225</v>
      </c>
      <c r="AE75" s="28">
        <f>ASIN(AD75)</f>
        <v>1.0892625592831298</v>
      </c>
      <c r="AF75" s="28">
        <f>(SIN(Y75)-SIN($J$2)*AD75)/(COS($J$2)*COS(AE75))</f>
        <v>0.7273730305681205</v>
      </c>
      <c r="AG75" s="8">
        <f>DEGREES(ACOS(AF75))</f>
        <v>43.33338434741524</v>
      </c>
      <c r="AH75" s="8">
        <f>IF(AC75&gt;180,AG75,360-AG75)</f>
        <v>316.66661565258477</v>
      </c>
      <c r="AI75" s="8">
        <f>DEGREES(AE75)</f>
        <v>62.41014742854197</v>
      </c>
      <c r="AJ75" s="28">
        <f>$C$5-AI75</f>
        <v>4.446519238124701</v>
      </c>
      <c r="AK75" s="29">
        <f>$D$5-AH75</f>
        <v>-88.76661565258476</v>
      </c>
      <c r="AL75" s="9">
        <f>AJ75*AJ75+AK75*AK75</f>
        <v>7899.28358774872</v>
      </c>
    </row>
    <row r="76" spans="1:38" s="8" customFormat="1" ht="12.75">
      <c r="A76" s="16" t="s">
        <v>137</v>
      </c>
      <c r="B76" s="16" t="s">
        <v>138</v>
      </c>
      <c r="C76" s="16" t="s">
        <v>135</v>
      </c>
      <c r="D76" s="16" t="s">
        <v>139</v>
      </c>
      <c r="E76" s="16" t="s">
        <v>138</v>
      </c>
      <c r="F76" s="16" t="s">
        <v>135</v>
      </c>
      <c r="M76" s="23">
        <v>27</v>
      </c>
      <c r="N76" s="23">
        <v>-39</v>
      </c>
      <c r="O76" s="8" t="s">
        <v>110</v>
      </c>
      <c r="P76" s="8" t="s">
        <v>111</v>
      </c>
      <c r="Q76" s="8">
        <f>COS($F$381)*COS(P78)*COS(O78+$B$381)-SIN($F$381)*SIN(P78)</f>
        <v>-0.7785208108540371</v>
      </c>
      <c r="R76" s="8">
        <f>R75-360*INT(R75/360)</f>
        <v>142.03198785924823</v>
      </c>
      <c r="U76" s="8">
        <f>COS(S75)*COS($D$389)*COS($D$373)+SIN(S75)*SIN($D$389)</f>
        <v>-0.739015587612335</v>
      </c>
      <c r="V76" s="8">
        <f>COS($D$389)*COS($D$373)*(TAN($D$373)*COS(S78)-SIN(S75)*SIN(S78))+COS(S75)*SIN(S78)*SIN($D$389)</f>
        <v>-0.02823811664955332</v>
      </c>
      <c r="AL76" s="9"/>
    </row>
    <row r="77" spans="1:38" s="8" customFormat="1" ht="12.75">
      <c r="A77" s="10">
        <f>($C$376+E75+F75/60)-INT(($C$376+E75+F75/60)/360)*360</f>
        <v>138.75560413626124</v>
      </c>
      <c r="B77" s="11">
        <f>TRUNC(A77)</f>
        <v>138</v>
      </c>
      <c r="C77" s="12">
        <f>(A77-B77)*60</f>
        <v>45.33624817567443</v>
      </c>
      <c r="D77" s="32" t="str">
        <f>IF(X75&gt;=0,"N","S")</f>
        <v>S</v>
      </c>
      <c r="E77" s="11">
        <f>ABS(TRUNC(X75))</f>
        <v>8</v>
      </c>
      <c r="F77" s="12">
        <f>ABS(X75-TRUNC(X75))*60</f>
        <v>42.48616379374219</v>
      </c>
      <c r="M77" s="30">
        <v>35.243</v>
      </c>
      <c r="N77" s="30">
        <v>-30.97</v>
      </c>
      <c r="O77" s="31">
        <f>M78+O75/3600*$A$367</f>
        <v>141.89680155556982</v>
      </c>
      <c r="P77" s="31">
        <f>N78+P75/3600*$A$367</f>
        <v>-8.658501174214127</v>
      </c>
      <c r="Q77" s="31">
        <f>SIN($F$381)*COS(P78)*COS(O78+$B$381)+COS($F$381)*SIN(P78)</f>
        <v>-0.15137709422506512</v>
      </c>
      <c r="R77" s="31" t="s">
        <v>139</v>
      </c>
      <c r="S77" s="20" t="s">
        <v>119</v>
      </c>
      <c r="T77" s="20" t="s">
        <v>122</v>
      </c>
      <c r="U77" s="20" t="s">
        <v>121</v>
      </c>
      <c r="V77" s="20" t="s">
        <v>122</v>
      </c>
      <c r="W77" s="20" t="s">
        <v>130</v>
      </c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9"/>
    </row>
    <row r="78" spans="1:38" s="8" customFormat="1" ht="12.75">
      <c r="A78" s="16"/>
      <c r="B78" s="16"/>
      <c r="C78" s="16"/>
      <c r="D78" s="16"/>
      <c r="E78" s="16"/>
      <c r="F78" s="16"/>
      <c r="M78" s="24">
        <f>(M75+M76/60+M77/3600)*15</f>
        <v>141.89684583333334</v>
      </c>
      <c r="N78" s="24">
        <f>N75+N76/60+N77/3600</f>
        <v>-8.658602777777778</v>
      </c>
      <c r="O78" s="8">
        <f>RADIANS(O77)</f>
        <v>2.476566385193705</v>
      </c>
      <c r="P78" s="8">
        <f>RADIANS(P77)</f>
        <v>-0.15111935377783167</v>
      </c>
      <c r="R78" s="8">
        <f>DEGREES(ASIN(Q77))</f>
        <v>-8.706739614943098</v>
      </c>
      <c r="S78" s="8">
        <f>RADIANS(R78)</f>
        <v>-0.15196127339458035</v>
      </c>
      <c r="T78" s="8">
        <f>SIN($D$373)*COS(S75)*$A$370+SIN(S75)*$A$373</f>
        <v>-2.6609218125463616E-05</v>
      </c>
      <c r="U78" s="22">
        <f>($A$394*U75-U76)*$V$18/COS(S78)</f>
        <v>7.55703185182489E-05</v>
      </c>
      <c r="V78" s="22">
        <f>($A$394*V75-V76)*$V$18</f>
        <v>2.8183741193598202E-06</v>
      </c>
      <c r="W78" s="8">
        <f>360-W75</f>
        <v>217.95941324321655</v>
      </c>
      <c r="AL78" s="9"/>
    </row>
    <row r="79" spans="1:38" s="8" customFormat="1" ht="12.75">
      <c r="A79" s="16" t="s">
        <v>140</v>
      </c>
      <c r="B79" s="16" t="s">
        <v>140</v>
      </c>
      <c r="C79" s="16" t="s">
        <v>140</v>
      </c>
      <c r="D79" s="16" t="s">
        <v>140</v>
      </c>
      <c r="E79" s="16" t="s">
        <v>140</v>
      </c>
      <c r="F79" s="16" t="s">
        <v>140</v>
      </c>
      <c r="M79" s="16" t="s">
        <v>140</v>
      </c>
      <c r="N79" s="16" t="s">
        <v>175</v>
      </c>
      <c r="O79" s="16" t="s">
        <v>140</v>
      </c>
      <c r="P79" s="16" t="s">
        <v>140</v>
      </c>
      <c r="Q79" s="16" t="s">
        <v>140</v>
      </c>
      <c r="R79" s="16" t="s">
        <v>140</v>
      </c>
      <c r="S79" s="16" t="s">
        <v>140</v>
      </c>
      <c r="T79" s="16" t="s">
        <v>175</v>
      </c>
      <c r="U79" s="16" t="s">
        <v>140</v>
      </c>
      <c r="V79" s="16" t="s">
        <v>140</v>
      </c>
      <c r="W79" s="16" t="s">
        <v>140</v>
      </c>
      <c r="X79" s="16" t="s">
        <v>140</v>
      </c>
      <c r="Y79" s="16" t="s">
        <v>140</v>
      </c>
      <c r="Z79" s="16" t="s">
        <v>175</v>
      </c>
      <c r="AA79" s="16" t="s">
        <v>140</v>
      </c>
      <c r="AB79" s="16" t="s">
        <v>140</v>
      </c>
      <c r="AC79" s="16" t="s">
        <v>140</v>
      </c>
      <c r="AD79" s="16" t="s">
        <v>140</v>
      </c>
      <c r="AE79" s="16" t="s">
        <v>140</v>
      </c>
      <c r="AF79" s="16" t="s">
        <v>175</v>
      </c>
      <c r="AG79" s="16" t="s">
        <v>140</v>
      </c>
      <c r="AH79" s="16" t="s">
        <v>140</v>
      </c>
      <c r="AI79" s="16" t="s">
        <v>140</v>
      </c>
      <c r="AJ79" s="16" t="s">
        <v>140</v>
      </c>
      <c r="AK79" s="16" t="s">
        <v>140</v>
      </c>
      <c r="AL79" s="9"/>
    </row>
    <row r="80" spans="1:38" s="8" customFormat="1" ht="12.75">
      <c r="A80" s="16"/>
      <c r="B80" s="16"/>
      <c r="C80" s="16"/>
      <c r="D80" s="16"/>
      <c r="E80" s="16"/>
      <c r="F80" s="16"/>
      <c r="M80" s="23" t="s">
        <v>104</v>
      </c>
      <c r="N80" s="23" t="s">
        <v>139</v>
      </c>
      <c r="O80" s="23" t="s">
        <v>106</v>
      </c>
      <c r="P80" s="23" t="s">
        <v>107</v>
      </c>
      <c r="Q80" s="8" t="s">
        <v>114</v>
      </c>
      <c r="R80" s="8" t="s">
        <v>104</v>
      </c>
      <c r="S80" s="8" t="s">
        <v>118</v>
      </c>
      <c r="T80" s="8" t="s">
        <v>121</v>
      </c>
      <c r="U80" s="8" t="s">
        <v>125</v>
      </c>
      <c r="V80" s="8" t="s">
        <v>126</v>
      </c>
      <c r="W80" s="8" t="s">
        <v>104</v>
      </c>
      <c r="X80" s="8" t="s">
        <v>139</v>
      </c>
      <c r="Y80" s="8" t="s">
        <v>67</v>
      </c>
      <c r="Z80" s="8" t="s">
        <v>68</v>
      </c>
      <c r="AA80" s="8" t="s">
        <v>69</v>
      </c>
      <c r="AB80" s="8" t="s">
        <v>74</v>
      </c>
      <c r="AC80" s="8" t="s">
        <v>73</v>
      </c>
      <c r="AD80" s="8" t="s">
        <v>70</v>
      </c>
      <c r="AE80" s="24" t="s">
        <v>75</v>
      </c>
      <c r="AF80" s="8" t="s">
        <v>71</v>
      </c>
      <c r="AG80" s="8" t="s">
        <v>72</v>
      </c>
      <c r="AH80" s="25" t="s">
        <v>76</v>
      </c>
      <c r="AI80" s="25" t="s">
        <v>77</v>
      </c>
      <c r="AJ80" s="24" t="s">
        <v>78</v>
      </c>
      <c r="AK80" s="24" t="s">
        <v>79</v>
      </c>
      <c r="AL80" s="9"/>
    </row>
    <row r="81" spans="1:38" s="8" customFormat="1" ht="12.75">
      <c r="A81" s="16" t="s">
        <v>175</v>
      </c>
      <c r="B81" s="26">
        <v>41</v>
      </c>
      <c r="C81" s="27">
        <v>2.2</v>
      </c>
      <c r="D81" s="18" t="s">
        <v>165</v>
      </c>
      <c r="E81" s="11">
        <f>TRUNC(W84)</f>
        <v>126</v>
      </c>
      <c r="F81" s="12">
        <f>ABS(W84-E81)*60</f>
        <v>12.74262062403011</v>
      </c>
      <c r="M81" s="23">
        <v>15</v>
      </c>
      <c r="N81" s="23">
        <v>26</v>
      </c>
      <c r="O81" s="23">
        <v>0.12038</v>
      </c>
      <c r="P81" s="23">
        <v>-0.08944</v>
      </c>
      <c r="Q81" s="8">
        <f>COS(P84)*SIN(O84+$B$381)</f>
        <v>-0.7202968476694891</v>
      </c>
      <c r="R81" s="8">
        <f>DEGREES(ATAN2(Q82,Q81))+$C$381</f>
        <v>-126.21156388458408</v>
      </c>
      <c r="S81" s="8">
        <f>RADIANS(R82)</f>
        <v>4.080377963302429</v>
      </c>
      <c r="T81" s="8">
        <f>(COS($D$373)+SIN($D$373)*SIN(S81)*TAN(S84))*$A$370-COS(S81)*TAN(S84)*$A$373</f>
        <v>6.398662684342192E-05</v>
      </c>
      <c r="U81" s="8">
        <f>COS(S81)*COS($D$394)*COS($D$373)+SIN(S81)*SIN($D$394)</f>
        <v>-0.6626641476504351</v>
      </c>
      <c r="V81" s="8">
        <f>COS($D$394)*COS($D$373)*(TAN($D$373)*COS(S84)-SIN(S81)*SIN(S84))+COS(S81)*SIN(S84)*SIN($D$394)</f>
        <v>-0.41450728412707394</v>
      </c>
      <c r="W81" s="8">
        <f>DEGREES(U84+T81+S81)</f>
        <v>233.7876229895995</v>
      </c>
      <c r="X81" s="8">
        <f>DEGREES(V84+T84+S84)</f>
        <v>26.67480304227807</v>
      </c>
      <c r="Y81" s="28">
        <f>V84+T84+S84</f>
        <v>0.4655631404087525</v>
      </c>
      <c r="Z81" s="8">
        <f>RADIANS(A83)</f>
        <v>0.820454286562446</v>
      </c>
      <c r="AA81" s="8">
        <f>Z81+$K$2</f>
        <v>-1.2739408158307493</v>
      </c>
      <c r="AB81" s="8">
        <f>DEGREES(AA81)</f>
        <v>-72.99143209655482</v>
      </c>
      <c r="AC81" s="8">
        <f>AB81-INT(AB81/360)*360</f>
        <v>287.00856790344517</v>
      </c>
      <c r="AD81" s="28">
        <f>SIN(Y81)*SIN($J$2)+COS(Y81)*COS($J$2)*COS(AA81)</f>
        <v>0.0019004508948230192</v>
      </c>
      <c r="AE81" s="28">
        <f>ASIN(AD81)</f>
        <v>0.0019004520388056034</v>
      </c>
      <c r="AF81" s="28">
        <f>(SIN(Y81)-SIN($J$2)*AD81)/(COS($J$2)*COS(AE81))</f>
        <v>0.5194733471480195</v>
      </c>
      <c r="AG81" s="8">
        <f>DEGREES(ACOS(AF81))</f>
        <v>58.70306870639101</v>
      </c>
      <c r="AH81" s="8">
        <f>IF(AC81&gt;180,AG81,360-AG81)</f>
        <v>58.70306870639101</v>
      </c>
      <c r="AI81" s="8">
        <f>DEGREES(AE81)</f>
        <v>0.10888788099059363</v>
      </c>
      <c r="AJ81" s="28">
        <f>$C$5-AI81</f>
        <v>66.74777878567608</v>
      </c>
      <c r="AK81" s="29">
        <f>$D$5-AH81</f>
        <v>169.196931293609</v>
      </c>
      <c r="AL81" s="9">
        <f>AJ81*AJ81+AK81*AK81</f>
        <v>33082.86753199579</v>
      </c>
    </row>
    <row r="82" spans="1:38" s="8" customFormat="1" ht="12.75">
      <c r="A82" s="16" t="s">
        <v>137</v>
      </c>
      <c r="B82" s="16" t="s">
        <v>138</v>
      </c>
      <c r="C82" s="16" t="s">
        <v>135</v>
      </c>
      <c r="D82" s="16" t="s">
        <v>139</v>
      </c>
      <c r="E82" s="16" t="s">
        <v>138</v>
      </c>
      <c r="F82" s="16" t="s">
        <v>135</v>
      </c>
      <c r="M82" s="23">
        <v>34</v>
      </c>
      <c r="N82" s="23">
        <v>42</v>
      </c>
      <c r="O82" s="8" t="s">
        <v>110</v>
      </c>
      <c r="P82" s="8" t="s">
        <v>111</v>
      </c>
      <c r="Q82" s="8">
        <f>COS($F$381)*COS(P84)*COS(O84+$B$381)-SIN($F$381)*SIN(P84)</f>
        <v>-0.5287630935361017</v>
      </c>
      <c r="R82" s="8">
        <f>R81-360*INT(R81/360)</f>
        <v>233.78843611541592</v>
      </c>
      <c r="U82" s="8">
        <f>COS(S81)*COS($D$389)*COS($D$373)+SIN(S81)*SIN($D$389)</f>
        <v>0.6919511075402954</v>
      </c>
      <c r="V82" s="8">
        <f>COS($D$389)*COS($D$373)*(TAN($D$373)*COS(S84)-SIN(S81)*SIN(S84))+COS(S81)*SIN(S84)*SIN($D$389)</f>
        <v>0.38853456067238984</v>
      </c>
      <c r="AL82" s="9"/>
    </row>
    <row r="83" spans="1:38" s="8" customFormat="1" ht="12.75">
      <c r="A83" s="10">
        <f>($C$376+E81+F81/60)-INT(($C$376+E81+F81/60)/360)*360</f>
        <v>47.00856790344517</v>
      </c>
      <c r="B83" s="11">
        <f>TRUNC(A83)</f>
        <v>47</v>
      </c>
      <c r="C83" s="12">
        <f>(A83-B83)*60</f>
        <v>0.51407420671012</v>
      </c>
      <c r="D83" s="32" t="str">
        <f>IF(X81&gt;=0,"N","S")</f>
        <v>N</v>
      </c>
      <c r="E83" s="11">
        <f>ABS(TRUNC(X81))</f>
        <v>26</v>
      </c>
      <c r="F83" s="12">
        <f>ABS(X81-TRUNC(X81))*60</f>
        <v>40.48818253668429</v>
      </c>
      <c r="M83" s="30">
        <v>41.268</v>
      </c>
      <c r="N83" s="30">
        <v>52.9</v>
      </c>
      <c r="O83" s="31">
        <f>M84+O81/3600*$A$367</f>
        <v>233.67231785073662</v>
      </c>
      <c r="P83" s="31">
        <f>N84+P81/3600*$A$367</f>
        <v>26.71442113849759</v>
      </c>
      <c r="Q83" s="31">
        <f>SIN($F$381)*COS(P84)*COS(O84+$B$381)+COS($F$381)*SIN(P84)</f>
        <v>0.4489788883138367</v>
      </c>
      <c r="R83" s="31" t="s">
        <v>139</v>
      </c>
      <c r="S83" s="20" t="s">
        <v>119</v>
      </c>
      <c r="T83" s="20" t="s">
        <v>122</v>
      </c>
      <c r="U83" s="20" t="s">
        <v>121</v>
      </c>
      <c r="V83" s="20" t="s">
        <v>122</v>
      </c>
      <c r="W83" s="20" t="s">
        <v>130</v>
      </c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9"/>
    </row>
    <row r="84" spans="1:38" s="8" customFormat="1" ht="12.75">
      <c r="A84" s="16"/>
      <c r="B84" s="16"/>
      <c r="C84" s="16"/>
      <c r="D84" s="16"/>
      <c r="E84" s="16"/>
      <c r="F84" s="16"/>
      <c r="M84" s="24">
        <f>(M81+M82/60+M83/3600)*15</f>
        <v>233.67195</v>
      </c>
      <c r="N84" s="24">
        <f>N81+N82/60+N83/3600</f>
        <v>26.714694444444444</v>
      </c>
      <c r="O84" s="8">
        <f>RADIANS(O83)</f>
        <v>4.078351317262074</v>
      </c>
      <c r="P84" s="8">
        <f>RADIANS(P83)</f>
        <v>0.46625460663115503</v>
      </c>
      <c r="R84" s="8">
        <f>DEGREES(ASIN(Q83))</f>
        <v>26.678189339461326</v>
      </c>
      <c r="S84" s="8">
        <f>RADIANS(R84)</f>
        <v>0.4656222424440513</v>
      </c>
      <c r="T84" s="8">
        <f>SIN($D$373)*COS(S81)*$A$370+SIN(S81)*$A$373</f>
        <v>-1.9807268467682074E-05</v>
      </c>
      <c r="U84" s="22">
        <f>($A$394*U81-U82)*$V$18/COS(S84)</f>
        <v>-7.817834957309692E-05</v>
      </c>
      <c r="V84" s="22">
        <f>($A$394*V81-V82)*$V$18</f>
        <v>-3.9294766831115805E-05</v>
      </c>
      <c r="W84" s="8">
        <f>360-W81</f>
        <v>126.2123770104005</v>
      </c>
      <c r="AL84" s="9"/>
    </row>
    <row r="85" spans="1:38" s="8" customFormat="1" ht="12.75">
      <c r="A85" s="16" t="s">
        <v>140</v>
      </c>
      <c r="B85" s="16" t="s">
        <v>140</v>
      </c>
      <c r="C85" s="16" t="s">
        <v>140</v>
      </c>
      <c r="D85" s="16" t="s">
        <v>140</v>
      </c>
      <c r="E85" s="16" t="s">
        <v>140</v>
      </c>
      <c r="F85" s="16" t="s">
        <v>140</v>
      </c>
      <c r="M85" s="16" t="s">
        <v>140</v>
      </c>
      <c r="N85" s="16" t="s">
        <v>176</v>
      </c>
      <c r="O85" s="16" t="s">
        <v>140</v>
      </c>
      <c r="P85" s="16" t="s">
        <v>140</v>
      </c>
      <c r="Q85" s="16" t="s">
        <v>140</v>
      </c>
      <c r="R85" s="16" t="s">
        <v>140</v>
      </c>
      <c r="S85" s="16" t="s">
        <v>140</v>
      </c>
      <c r="T85" s="16" t="s">
        <v>176</v>
      </c>
      <c r="U85" s="16" t="s">
        <v>140</v>
      </c>
      <c r="V85" s="16" t="s">
        <v>140</v>
      </c>
      <c r="W85" s="16" t="s">
        <v>140</v>
      </c>
      <c r="X85" s="16" t="s">
        <v>140</v>
      </c>
      <c r="Y85" s="16" t="s">
        <v>140</v>
      </c>
      <c r="Z85" s="16" t="s">
        <v>176</v>
      </c>
      <c r="AA85" s="16" t="s">
        <v>140</v>
      </c>
      <c r="AB85" s="16" t="s">
        <v>140</v>
      </c>
      <c r="AC85" s="16" t="s">
        <v>140</v>
      </c>
      <c r="AD85" s="16" t="s">
        <v>140</v>
      </c>
      <c r="AE85" s="16" t="s">
        <v>140</v>
      </c>
      <c r="AF85" s="16" t="s">
        <v>176</v>
      </c>
      <c r="AG85" s="16" t="s">
        <v>140</v>
      </c>
      <c r="AH85" s="16" t="s">
        <v>140</v>
      </c>
      <c r="AI85" s="16" t="s">
        <v>140</v>
      </c>
      <c r="AJ85" s="16" t="s">
        <v>140</v>
      </c>
      <c r="AK85" s="16" t="s">
        <v>140</v>
      </c>
      <c r="AL85" s="9"/>
    </row>
    <row r="86" spans="1:38" s="8" customFormat="1" ht="12.75">
      <c r="A86" s="16"/>
      <c r="B86" s="16"/>
      <c r="C86" s="16"/>
      <c r="D86" s="16"/>
      <c r="E86" s="16"/>
      <c r="F86" s="16"/>
      <c r="M86" s="23" t="s">
        <v>104</v>
      </c>
      <c r="N86" s="23" t="s">
        <v>139</v>
      </c>
      <c r="O86" s="23" t="s">
        <v>106</v>
      </c>
      <c r="P86" s="23" t="s">
        <v>107</v>
      </c>
      <c r="Q86" s="8" t="s">
        <v>114</v>
      </c>
      <c r="R86" s="8" t="s">
        <v>104</v>
      </c>
      <c r="S86" s="8" t="s">
        <v>118</v>
      </c>
      <c r="T86" s="8" t="s">
        <v>121</v>
      </c>
      <c r="U86" s="8" t="s">
        <v>125</v>
      </c>
      <c r="V86" s="8" t="s">
        <v>126</v>
      </c>
      <c r="W86" s="8" t="s">
        <v>104</v>
      </c>
      <c r="X86" s="8" t="s">
        <v>139</v>
      </c>
      <c r="Y86" s="8" t="s">
        <v>67</v>
      </c>
      <c r="Z86" s="8" t="s">
        <v>68</v>
      </c>
      <c r="AA86" s="8" t="s">
        <v>69</v>
      </c>
      <c r="AB86" s="8" t="s">
        <v>74</v>
      </c>
      <c r="AC86" s="8" t="s">
        <v>73</v>
      </c>
      <c r="AD86" s="8" t="s">
        <v>70</v>
      </c>
      <c r="AE86" s="24" t="s">
        <v>75</v>
      </c>
      <c r="AF86" s="8" t="s">
        <v>71</v>
      </c>
      <c r="AG86" s="8" t="s">
        <v>72</v>
      </c>
      <c r="AH86" s="25" t="s">
        <v>76</v>
      </c>
      <c r="AI86" s="25" t="s">
        <v>77</v>
      </c>
      <c r="AJ86" s="24" t="s">
        <v>78</v>
      </c>
      <c r="AK86" s="24" t="s">
        <v>79</v>
      </c>
      <c r="AL86" s="9"/>
    </row>
    <row r="87" spans="1:38" s="8" customFormat="1" ht="12.75">
      <c r="A87" s="16" t="s">
        <v>176</v>
      </c>
      <c r="B87" s="26">
        <v>1</v>
      </c>
      <c r="C87" s="27">
        <v>2.1</v>
      </c>
      <c r="D87" s="18" t="s">
        <v>165</v>
      </c>
      <c r="E87" s="11">
        <f>TRUNC(W90)</f>
        <v>357</v>
      </c>
      <c r="F87" s="12">
        <f>ABS(W90-E87)*60</f>
        <v>45.40903500835498</v>
      </c>
      <c r="M87" s="23">
        <v>0</v>
      </c>
      <c r="N87" s="23">
        <v>29</v>
      </c>
      <c r="O87" s="23">
        <v>0.13568</v>
      </c>
      <c r="P87" s="23">
        <v>-0.16295</v>
      </c>
      <c r="Q87" s="8">
        <f>COS(P90)*SIN(O90+$B$381)</f>
        <v>0.03305473787607678</v>
      </c>
      <c r="R87" s="8">
        <f>DEGREES(ATAN2(Q88,Q87))+$C$381</f>
        <v>2.239567075630129</v>
      </c>
      <c r="S87" s="8">
        <f>RADIANS(R88)</f>
        <v>0.039087819289006606</v>
      </c>
      <c r="T87" s="8">
        <f>(COS($D$373)+SIN($D$373)*SIN(S87)*TAN(S90))*$A$370-COS(S87)*TAN(S90)*$A$373</f>
        <v>7.846076962137434E-05</v>
      </c>
      <c r="U87" s="8">
        <f>COS(S87)*COS($D$394)*COS($D$373)+SIN(S87)*SIN($D$394)</f>
        <v>-0.17014822310976793</v>
      </c>
      <c r="V87" s="8">
        <f>COS($D$394)*COS($D$373)*(TAN($D$373)*COS(S90)-SIN(S87)*SIN(S90))+COS(S87)*SIN(S90)*SIN($D$394)</f>
        <v>0.3991018729753635</v>
      </c>
      <c r="W87" s="8">
        <f>DEGREES(U90+T87+S87)</f>
        <v>2.2431827498607677</v>
      </c>
      <c r="X87" s="8">
        <f>DEGREES(V90+T90+S90)</f>
        <v>29.15547286530383</v>
      </c>
      <c r="Y87" s="28">
        <f>V90+T90+S90</f>
        <v>0.5088589964754171</v>
      </c>
      <c r="Z87" s="8">
        <f>RADIANS(A89)</f>
        <v>4.861667133433135</v>
      </c>
      <c r="AA87" s="8">
        <f>Z87+$K$2</f>
        <v>2.76727203103994</v>
      </c>
      <c r="AB87" s="8">
        <f>DEGREES(AA87)</f>
        <v>158.55300814318392</v>
      </c>
      <c r="AC87" s="8">
        <f>AB87-INT(AB87/360)*360</f>
        <v>158.55300814318392</v>
      </c>
      <c r="AD87" s="28">
        <f>SIN(Y87)*SIN($J$2)+COS(Y87)*COS($J$2)*COS(AA87)</f>
        <v>-0.9475222630792913</v>
      </c>
      <c r="AE87" s="28">
        <f>ASIN(AD87)</f>
        <v>-1.2453942497358292</v>
      </c>
      <c r="AF87" s="28">
        <f>(SIN(Y87)-SIN($J$2)*AD87)/(COS($J$2)*COS(AE87))</f>
        <v>0.048472218852619896</v>
      </c>
      <c r="AG87" s="8">
        <f>DEGREES(ACOS(AF87))</f>
        <v>87.22165773250128</v>
      </c>
      <c r="AH87" s="8">
        <f>IF(AC87&gt;180,AG87,360-AG87)</f>
        <v>272.7783422674987</v>
      </c>
      <c r="AI87" s="8">
        <f>DEGREES(AE87)</f>
        <v>-71.35583433972465</v>
      </c>
      <c r="AJ87" s="28">
        <f>$C$5-AI87</f>
        <v>138.21250100639134</v>
      </c>
      <c r="AK87" s="29">
        <f>$D$5-AH87</f>
        <v>-44.87834226749871</v>
      </c>
      <c r="AL87" s="9">
        <f>AJ87*AJ87+AK87*AK87</f>
        <v>21116.761039120487</v>
      </c>
    </row>
    <row r="88" spans="1:38" s="8" customFormat="1" ht="12.75">
      <c r="A88" s="16" t="s">
        <v>137</v>
      </c>
      <c r="B88" s="16" t="s">
        <v>138</v>
      </c>
      <c r="C88" s="16" t="s">
        <v>135</v>
      </c>
      <c r="D88" s="16" t="s">
        <v>139</v>
      </c>
      <c r="E88" s="16" t="s">
        <v>138</v>
      </c>
      <c r="F88" s="16" t="s">
        <v>135</v>
      </c>
      <c r="M88" s="23">
        <v>8</v>
      </c>
      <c r="N88" s="23">
        <v>5</v>
      </c>
      <c r="O88" s="8" t="s">
        <v>110</v>
      </c>
      <c r="P88" s="8" t="s">
        <v>111</v>
      </c>
      <c r="Q88" s="8">
        <f>COS($F$381)*COS(P90)*COS(O90+$B$381)-SIN($F$381)*SIN(P90)</f>
        <v>0.8727120778307922</v>
      </c>
      <c r="R88" s="8">
        <f>R87-360*INT(R87/360)</f>
        <v>2.239567075630129</v>
      </c>
      <c r="U88" s="8">
        <f>COS(S87)*COS($D$389)*COS($D$373)+SIN(S87)*SIN($D$389)</f>
        <v>0.1321188091538808</v>
      </c>
      <c r="V88" s="8">
        <f>COS($D$389)*COS($D$373)*(TAN($D$373)*COS(S90)-SIN(S87)*SIN(S90))+COS(S87)*SIN(S90)*SIN($D$389)</f>
        <v>-0.4168899113834965</v>
      </c>
      <c r="AL88" s="9"/>
    </row>
    <row r="89" spans="1:38" s="8" customFormat="1" ht="12.75">
      <c r="A89" s="10">
        <f>($C$376+E87+F87/60)-INT(($C$376+E87+F87/60)/360)*360</f>
        <v>278.5530081431839</v>
      </c>
      <c r="B89" s="11">
        <f>TRUNC(A89)</f>
        <v>278</v>
      </c>
      <c r="C89" s="12">
        <f>(A89-B89)*60</f>
        <v>33.18048859103328</v>
      </c>
      <c r="D89" s="32" t="str">
        <f>IF(X87&gt;=0,"N","S")</f>
        <v>N</v>
      </c>
      <c r="E89" s="11">
        <f>ABS(TRUNC(X87))</f>
        <v>29</v>
      </c>
      <c r="F89" s="12">
        <f>ABS(X87-TRUNC(X87))*60</f>
        <v>9.328371918229905</v>
      </c>
      <c r="M89" s="30">
        <v>23.259</v>
      </c>
      <c r="N89" s="30">
        <v>25.55</v>
      </c>
      <c r="O89" s="31">
        <f>M90+O87/3600*$A$367</f>
        <v>2.0973271036546235</v>
      </c>
      <c r="P89" s="31">
        <f>N90+P87/3600*$A$367</f>
        <v>29.089932621700004</v>
      </c>
      <c r="Q89" s="31">
        <f>SIN($F$381)*COS(P90)*COS(O90+$B$381)+COS($F$381)*SIN(P90)</f>
        <v>0.4871149900302858</v>
      </c>
      <c r="R89" s="31" t="s">
        <v>139</v>
      </c>
      <c r="S89" s="20" t="s">
        <v>119</v>
      </c>
      <c r="T89" s="20" t="s">
        <v>122</v>
      </c>
      <c r="U89" s="20" t="s">
        <v>121</v>
      </c>
      <c r="V89" s="20" t="s">
        <v>122</v>
      </c>
      <c r="W89" s="20" t="s">
        <v>130</v>
      </c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9"/>
    </row>
    <row r="90" spans="1:38" s="8" customFormat="1" ht="12.75">
      <c r="A90" s="16"/>
      <c r="B90" s="16"/>
      <c r="C90" s="16"/>
      <c r="D90" s="16"/>
      <c r="E90" s="16"/>
      <c r="F90" s="16"/>
      <c r="M90" s="24">
        <f>(M87+M88/60+M89/3600)*15</f>
        <v>2.0969125</v>
      </c>
      <c r="N90" s="24">
        <f>N87+N88/60+N89/3600</f>
        <v>29.090430555555553</v>
      </c>
      <c r="O90" s="8">
        <f>RADIANS(O89)</f>
        <v>0.036605263450089576</v>
      </c>
      <c r="P90" s="8">
        <f>RADIANS(P89)</f>
        <v>0.5077151034319711</v>
      </c>
      <c r="R90" s="8">
        <f>DEGREES(ASIN(Q89))</f>
        <v>29.151133970392802</v>
      </c>
      <c r="S90" s="8">
        <f>RADIANS(R90)</f>
        <v>0.5087832684733216</v>
      </c>
      <c r="T90" s="8">
        <f>SIN($D$373)*COS(S87)*$A$370+SIN(S87)*$A$373</f>
        <v>3.364127325881433E-05</v>
      </c>
      <c r="U90" s="22">
        <f>($A$394*U87-U88)*$V$18/COS(S90)</f>
        <v>-1.535534961721112E-05</v>
      </c>
      <c r="V90" s="22">
        <f>($A$394*V87-V88)*$V$18</f>
        <v>4.208672883675292E-05</v>
      </c>
      <c r="W90" s="8">
        <f>360-W87</f>
        <v>357.75681725013925</v>
      </c>
      <c r="AL90" s="9"/>
    </row>
    <row r="91" spans="1:38" s="8" customFormat="1" ht="12.75">
      <c r="A91" s="16" t="s">
        <v>140</v>
      </c>
      <c r="B91" s="16" t="s">
        <v>140</v>
      </c>
      <c r="C91" s="16" t="s">
        <v>140</v>
      </c>
      <c r="D91" s="16" t="s">
        <v>140</v>
      </c>
      <c r="E91" s="16" t="s">
        <v>140</v>
      </c>
      <c r="F91" s="16" t="s">
        <v>140</v>
      </c>
      <c r="M91" s="16" t="s">
        <v>140</v>
      </c>
      <c r="N91" s="16" t="s">
        <v>177</v>
      </c>
      <c r="O91" s="16" t="s">
        <v>140</v>
      </c>
      <c r="P91" s="16" t="s">
        <v>140</v>
      </c>
      <c r="Q91" s="16" t="s">
        <v>140</v>
      </c>
      <c r="R91" s="16" t="s">
        <v>140</v>
      </c>
      <c r="S91" s="16" t="s">
        <v>140</v>
      </c>
      <c r="T91" s="16" t="s">
        <v>177</v>
      </c>
      <c r="U91" s="16" t="s">
        <v>140</v>
      </c>
      <c r="V91" s="16" t="s">
        <v>140</v>
      </c>
      <c r="W91" s="16" t="s">
        <v>140</v>
      </c>
      <c r="X91" s="16" t="s">
        <v>140</v>
      </c>
      <c r="Y91" s="16" t="s">
        <v>140</v>
      </c>
      <c r="Z91" s="16" t="s">
        <v>177</v>
      </c>
      <c r="AA91" s="16" t="s">
        <v>140</v>
      </c>
      <c r="AB91" s="16" t="s">
        <v>140</v>
      </c>
      <c r="AC91" s="16" t="s">
        <v>140</v>
      </c>
      <c r="AD91" s="16" t="s">
        <v>140</v>
      </c>
      <c r="AE91" s="16" t="s">
        <v>140</v>
      </c>
      <c r="AF91" s="16" t="s">
        <v>177</v>
      </c>
      <c r="AG91" s="16" t="s">
        <v>140</v>
      </c>
      <c r="AH91" s="16" t="s">
        <v>140</v>
      </c>
      <c r="AI91" s="16" t="s">
        <v>140</v>
      </c>
      <c r="AJ91" s="16" t="s">
        <v>140</v>
      </c>
      <c r="AK91" s="16" t="s">
        <v>140</v>
      </c>
      <c r="AL91" s="9"/>
    </row>
    <row r="92" spans="1:38" s="8" customFormat="1" ht="12.75">
      <c r="A92" s="16"/>
      <c r="B92" s="16"/>
      <c r="C92" s="16"/>
      <c r="D92" s="16"/>
      <c r="E92" s="16"/>
      <c r="F92" s="16"/>
      <c r="M92" s="23" t="s">
        <v>104</v>
      </c>
      <c r="N92" s="23" t="s">
        <v>139</v>
      </c>
      <c r="O92" s="23" t="s">
        <v>106</v>
      </c>
      <c r="P92" s="23" t="s">
        <v>107</v>
      </c>
      <c r="Q92" s="8" t="s">
        <v>114</v>
      </c>
      <c r="R92" s="8" t="s">
        <v>104</v>
      </c>
      <c r="S92" s="8" t="s">
        <v>118</v>
      </c>
      <c r="T92" s="8" t="s">
        <v>121</v>
      </c>
      <c r="U92" s="8" t="s">
        <v>125</v>
      </c>
      <c r="V92" s="8" t="s">
        <v>126</v>
      </c>
      <c r="W92" s="8" t="s">
        <v>104</v>
      </c>
      <c r="X92" s="8" t="s">
        <v>139</v>
      </c>
      <c r="Y92" s="8" t="s">
        <v>67</v>
      </c>
      <c r="Z92" s="8" t="s">
        <v>68</v>
      </c>
      <c r="AA92" s="8" t="s">
        <v>69</v>
      </c>
      <c r="AB92" s="8" t="s">
        <v>74</v>
      </c>
      <c r="AC92" s="8" t="s">
        <v>73</v>
      </c>
      <c r="AD92" s="8" t="s">
        <v>70</v>
      </c>
      <c r="AE92" s="24" t="s">
        <v>75</v>
      </c>
      <c r="AF92" s="8" t="s">
        <v>71</v>
      </c>
      <c r="AG92" s="8" t="s">
        <v>72</v>
      </c>
      <c r="AH92" s="25" t="s">
        <v>76</v>
      </c>
      <c r="AI92" s="25" t="s">
        <v>77</v>
      </c>
      <c r="AJ92" s="24" t="s">
        <v>78</v>
      </c>
      <c r="AK92" s="24" t="s">
        <v>79</v>
      </c>
      <c r="AL92" s="9"/>
    </row>
    <row r="93" spans="1:38" s="8" customFormat="1" ht="12.75">
      <c r="A93" s="16" t="s">
        <v>177</v>
      </c>
      <c r="B93" s="26">
        <v>51</v>
      </c>
      <c r="C93" s="27">
        <v>0.8</v>
      </c>
      <c r="D93" s="18" t="s">
        <v>165</v>
      </c>
      <c r="E93" s="11">
        <f>TRUNC(W96)</f>
        <v>62</v>
      </c>
      <c r="F93" s="12">
        <f>ABS(W96-E93)*60</f>
        <v>10.285630696656654</v>
      </c>
      <c r="M93" s="23">
        <v>19</v>
      </c>
      <c r="N93" s="23">
        <v>8</v>
      </c>
      <c r="O93" s="23">
        <v>0.53687</v>
      </c>
      <c r="P93" s="23">
        <v>0.38557</v>
      </c>
      <c r="Q93" s="8">
        <f>COS(P96)*SIN(O96+$B$381)</f>
        <v>-0.8742609145513972</v>
      </c>
      <c r="R93" s="8">
        <f>DEGREES(ATAN2(Q94,Q93))+$C$381</f>
        <v>-62.17005212911969</v>
      </c>
      <c r="S93" s="8">
        <f>RADIANS(R94)</f>
        <v>5.198113201389937</v>
      </c>
      <c r="T93" s="8">
        <f>(COS($D$373)+SIN($D$373)*SIN(S93)*TAN(S96))*$A$370-COS(S93)*TAN(S96)*$A$373</f>
        <v>7.301428339246435E-05</v>
      </c>
      <c r="U93" s="8">
        <f>COS(S93)*COS($D$394)*COS($D$373)+SIN(S93)*SIN($D$394)</f>
        <v>-0.9585048336311278</v>
      </c>
      <c r="V93" s="8">
        <f>COS($D$394)*COS($D$373)*(TAN($D$373)*COS(S96)-SIN(S93)*SIN(S96))+COS(S93)*SIN(S96)*SIN($D$394)</f>
        <v>-0.04742119677985615</v>
      </c>
      <c r="W93" s="8">
        <f>DEGREES(U96+T93+S93)</f>
        <v>297.8285728217224</v>
      </c>
      <c r="X93" s="8">
        <f>DEGREES(V96+T96+S96)</f>
        <v>8.89878644134081</v>
      </c>
      <c r="Y93" s="28">
        <f>V96+T96+S96</f>
        <v>0.15531312283322637</v>
      </c>
      <c r="Z93" s="8">
        <f>RADIANS(A95)</f>
        <v>5.985914163066979</v>
      </c>
      <c r="AA93" s="8">
        <f>Z93+$K$2</f>
        <v>3.8915190606737835</v>
      </c>
      <c r="AB93" s="8">
        <f>DEGREES(AA93)</f>
        <v>222.96761807132233</v>
      </c>
      <c r="AC93" s="8">
        <f>AB93-INT(AB93/360)*360</f>
        <v>222.96761807132233</v>
      </c>
      <c r="AD93" s="28">
        <f>SIN(Y93)*SIN($J$2)+COS(Y93)*COS($J$2)*COS(AA93)</f>
        <v>-0.7034215079494767</v>
      </c>
      <c r="AE93" s="28">
        <f>ASIN(AD93)</f>
        <v>-0.7801998875984173</v>
      </c>
      <c r="AF93" s="28">
        <f>(SIN(Y93)-SIN($J$2)*AD93)/(COS($J$2)*COS(AE93))</f>
        <v>-0.32007491899962554</v>
      </c>
      <c r="AG93" s="8">
        <f>DEGREES(ACOS(AF93))</f>
        <v>108.66745572759832</v>
      </c>
      <c r="AH93" s="8">
        <f>IF(AC93&gt;180,AG93,360-AG93)</f>
        <v>108.66745572759832</v>
      </c>
      <c r="AI93" s="8">
        <f>DEGREES(AE93)</f>
        <v>-44.70216073597053</v>
      </c>
      <c r="AJ93" s="28">
        <f>$C$5-AI93</f>
        <v>111.5588274026372</v>
      </c>
      <c r="AK93" s="29">
        <f>$D$5-AH93</f>
        <v>119.23254427240168</v>
      </c>
      <c r="AL93" s="9">
        <f>AJ93*AJ93+AK93*AK93</f>
        <v>26661.771585121627</v>
      </c>
    </row>
    <row r="94" spans="1:38" s="8" customFormat="1" ht="12.75">
      <c r="A94" s="16" t="s">
        <v>137</v>
      </c>
      <c r="B94" s="16" t="s">
        <v>138</v>
      </c>
      <c r="C94" s="16" t="s">
        <v>135</v>
      </c>
      <c r="D94" s="16" t="s">
        <v>139</v>
      </c>
      <c r="E94" s="16" t="s">
        <v>138</v>
      </c>
      <c r="F94" s="16" t="s">
        <v>135</v>
      </c>
      <c r="M94" s="23">
        <v>50</v>
      </c>
      <c r="N94" s="23">
        <v>52</v>
      </c>
      <c r="O94" s="8" t="s">
        <v>110</v>
      </c>
      <c r="P94" s="8" t="s">
        <v>111</v>
      </c>
      <c r="Q94" s="8">
        <f>COS($F$381)*COS(P96)*COS(O96+$B$381)-SIN($F$381)*SIN(P96)</f>
        <v>0.46015547261018985</v>
      </c>
      <c r="R94" s="8">
        <f>R93-360*INT(R93/360)</f>
        <v>297.8299478708803</v>
      </c>
      <c r="U94" s="8">
        <f>COS(S93)*COS($D$389)*COS($D$373)+SIN(S93)*SIN($D$389)</f>
        <v>0.9485722101779741</v>
      </c>
      <c r="V94" s="8">
        <f>COS($D$389)*COS($D$373)*(TAN($D$373)*COS(S96)-SIN(S93)*SIN(S96))+COS(S93)*SIN(S96)*SIN($D$389)</f>
        <v>0.025479664820346623</v>
      </c>
      <c r="AL94" s="9"/>
    </row>
    <row r="95" spans="1:38" s="8" customFormat="1" ht="12.75">
      <c r="A95" s="10">
        <f>($C$376+E93+F93/60)-INT(($C$376+E93+F93/60)/360)*360</f>
        <v>342.9676180713223</v>
      </c>
      <c r="B95" s="11">
        <f>TRUNC(A95)</f>
        <v>342</v>
      </c>
      <c r="C95" s="12">
        <f>(A95-B95)*60</f>
        <v>58.05708427933837</v>
      </c>
      <c r="D95" s="32" t="str">
        <f>IF(X93&gt;=0,"N","S")</f>
        <v>N</v>
      </c>
      <c r="E95" s="11">
        <f>ABS(TRUNC(X93))</f>
        <v>8</v>
      </c>
      <c r="F95" s="12">
        <f>ABS(X93-TRUNC(X93))*60</f>
        <v>53.927186480448626</v>
      </c>
      <c r="M95" s="30">
        <v>46.999</v>
      </c>
      <c r="N95" s="30">
        <v>5.96</v>
      </c>
      <c r="O95" s="31">
        <f>M96+O93/3600*$A$367</f>
        <v>297.6974697051694</v>
      </c>
      <c r="P95" s="31">
        <f>N96+P93/3600*$A$367</f>
        <v>8.869500426313563</v>
      </c>
      <c r="Q95" s="31">
        <f>SIN($F$381)*COS(P96)*COS(O96+$B$381)+COS($F$381)*SIN(P96)</f>
        <v>0.15467641809483212</v>
      </c>
      <c r="R95" s="31" t="s">
        <v>139</v>
      </c>
      <c r="S95" s="20" t="s">
        <v>119</v>
      </c>
      <c r="T95" s="20" t="s">
        <v>122</v>
      </c>
      <c r="U95" s="20" t="s">
        <v>121</v>
      </c>
      <c r="V95" s="20" t="s">
        <v>122</v>
      </c>
      <c r="W95" s="20" t="s">
        <v>130</v>
      </c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9"/>
    </row>
    <row r="96" spans="1:38" s="8" customFormat="1" ht="12.75">
      <c r="A96" s="16"/>
      <c r="B96" s="16"/>
      <c r="C96" s="16"/>
      <c r="D96" s="16"/>
      <c r="E96" s="16"/>
      <c r="F96" s="16"/>
      <c r="M96" s="24">
        <f>(M93+M94/60+M95/3600)*15</f>
        <v>297.6958291666666</v>
      </c>
      <c r="N96" s="24">
        <f>N93+N94/60+N95/3600</f>
        <v>8.868322222222222</v>
      </c>
      <c r="O96" s="8">
        <f>RADIANS(O95)</f>
        <v>5.195801021211278</v>
      </c>
      <c r="P96" s="8">
        <f>RADIANS(P95)</f>
        <v>0.15480198544621238</v>
      </c>
      <c r="R96" s="8">
        <f>DEGREES(ASIN(Q95))</f>
        <v>8.898030052037782</v>
      </c>
      <c r="S96" s="8">
        <f>RADIANS(R96)</f>
        <v>0.1552999213494617</v>
      </c>
      <c r="T96" s="8">
        <f>SIN($D$373)*COS(S93)*$A$370+SIN(S93)*$A$373</f>
        <v>1.581198229877659E-05</v>
      </c>
      <c r="U96" s="22">
        <f>($A$394*U93-U94)*$V$18/COS(S96)</f>
        <v>-9.701341857494123E-05</v>
      </c>
      <c r="V96" s="22">
        <f>($A$394*V93-V94)*$V$18</f>
        <v>-2.6104985340813493E-06</v>
      </c>
      <c r="W96" s="8">
        <f>360-W93</f>
        <v>62.17142717827761</v>
      </c>
      <c r="AL96" s="9"/>
    </row>
    <row r="97" spans="1:38" s="8" customFormat="1" ht="12.75">
      <c r="A97" s="16" t="s">
        <v>140</v>
      </c>
      <c r="B97" s="16" t="s">
        <v>140</v>
      </c>
      <c r="C97" s="16" t="s">
        <v>140</v>
      </c>
      <c r="D97" s="16" t="s">
        <v>140</v>
      </c>
      <c r="E97" s="16" t="s">
        <v>140</v>
      </c>
      <c r="F97" s="16" t="s">
        <v>140</v>
      </c>
      <c r="M97" s="16" t="s">
        <v>140</v>
      </c>
      <c r="N97" s="16" t="s">
        <v>178</v>
      </c>
      <c r="O97" s="16" t="s">
        <v>140</v>
      </c>
      <c r="P97" s="16" t="s">
        <v>140</v>
      </c>
      <c r="Q97" s="16" t="s">
        <v>140</v>
      </c>
      <c r="R97" s="16" t="s">
        <v>140</v>
      </c>
      <c r="S97" s="16" t="s">
        <v>140</v>
      </c>
      <c r="T97" s="16" t="s">
        <v>178</v>
      </c>
      <c r="U97" s="16" t="s">
        <v>140</v>
      </c>
      <c r="V97" s="16" t="s">
        <v>140</v>
      </c>
      <c r="W97" s="16" t="s">
        <v>140</v>
      </c>
      <c r="X97" s="16" t="s">
        <v>140</v>
      </c>
      <c r="Y97" s="16" t="s">
        <v>140</v>
      </c>
      <c r="Z97" s="16" t="s">
        <v>178</v>
      </c>
      <c r="AA97" s="16" t="s">
        <v>140</v>
      </c>
      <c r="AB97" s="16" t="s">
        <v>140</v>
      </c>
      <c r="AC97" s="16" t="s">
        <v>140</v>
      </c>
      <c r="AD97" s="16" t="s">
        <v>140</v>
      </c>
      <c r="AE97" s="16" t="s">
        <v>140</v>
      </c>
      <c r="AF97" s="16" t="s">
        <v>178</v>
      </c>
      <c r="AG97" s="16" t="s">
        <v>140</v>
      </c>
      <c r="AH97" s="16" t="s">
        <v>140</v>
      </c>
      <c r="AI97" s="16" t="s">
        <v>140</v>
      </c>
      <c r="AJ97" s="16" t="s">
        <v>140</v>
      </c>
      <c r="AK97" s="16" t="s">
        <v>140</v>
      </c>
      <c r="AL97" s="9"/>
    </row>
    <row r="98" spans="1:38" s="8" customFormat="1" ht="12.75">
      <c r="A98" s="16"/>
      <c r="B98" s="16"/>
      <c r="C98" s="16"/>
      <c r="D98" s="16"/>
      <c r="E98" s="16"/>
      <c r="F98" s="16"/>
      <c r="M98" s="23" t="s">
        <v>104</v>
      </c>
      <c r="N98" s="23" t="s">
        <v>139</v>
      </c>
      <c r="O98" s="23" t="s">
        <v>106</v>
      </c>
      <c r="P98" s="23" t="s">
        <v>107</v>
      </c>
      <c r="Q98" s="8" t="s">
        <v>114</v>
      </c>
      <c r="R98" s="8" t="s">
        <v>104</v>
      </c>
      <c r="S98" s="8" t="s">
        <v>118</v>
      </c>
      <c r="T98" s="8" t="s">
        <v>121</v>
      </c>
      <c r="U98" s="8" t="s">
        <v>125</v>
      </c>
      <c r="V98" s="8" t="s">
        <v>126</v>
      </c>
      <c r="W98" s="8" t="s">
        <v>104</v>
      </c>
      <c r="X98" s="8" t="s">
        <v>139</v>
      </c>
      <c r="Y98" s="8" t="s">
        <v>67</v>
      </c>
      <c r="Z98" s="8" t="s">
        <v>68</v>
      </c>
      <c r="AA98" s="8" t="s">
        <v>69</v>
      </c>
      <c r="AB98" s="8" t="s">
        <v>74</v>
      </c>
      <c r="AC98" s="8" t="s">
        <v>73</v>
      </c>
      <c r="AD98" s="8" t="s">
        <v>70</v>
      </c>
      <c r="AE98" s="24" t="s">
        <v>75</v>
      </c>
      <c r="AF98" s="8" t="s">
        <v>71</v>
      </c>
      <c r="AG98" s="8" t="s">
        <v>72</v>
      </c>
      <c r="AH98" s="25" t="s">
        <v>76</v>
      </c>
      <c r="AI98" s="25" t="s">
        <v>77</v>
      </c>
      <c r="AJ98" s="24" t="s">
        <v>78</v>
      </c>
      <c r="AK98" s="24" t="s">
        <v>79</v>
      </c>
      <c r="AL98" s="9"/>
    </row>
    <row r="99" spans="1:38" s="8" customFormat="1" ht="12.75">
      <c r="A99" s="16" t="s">
        <v>178</v>
      </c>
      <c r="B99" s="26">
        <v>2</v>
      </c>
      <c r="C99" s="27">
        <v>2.4</v>
      </c>
      <c r="D99" s="18" t="s">
        <v>165</v>
      </c>
      <c r="E99" s="11">
        <f>TRUNC(W102)</f>
        <v>353</v>
      </c>
      <c r="F99" s="12">
        <f>ABS(W102-E99)*60</f>
        <v>17.395470584999657</v>
      </c>
      <c r="M99" s="23">
        <v>0</v>
      </c>
      <c r="N99" s="23">
        <v>-42</v>
      </c>
      <c r="O99" s="23">
        <v>0.23275</v>
      </c>
      <c r="P99" s="23">
        <v>-0.35362</v>
      </c>
      <c r="Q99" s="8">
        <f>COS(P102)*SIN(O102+$B$381)</f>
        <v>0.08554301024993734</v>
      </c>
      <c r="R99" s="8">
        <f>DEGREES(ATAN2(Q100,Q99))+$C$381</f>
        <v>6.706268380623635</v>
      </c>
      <c r="S99" s="8">
        <f>RADIANS(R100)</f>
        <v>0.11704646376427073</v>
      </c>
      <c r="T99" s="8">
        <f>(COS($D$373)+SIN($D$373)*SIN(S99)*TAN(S102))*$A$370-COS(S99)*TAN(S102)*$A$373</f>
        <v>7.400275722311284E-05</v>
      </c>
      <c r="U99" s="8">
        <f>COS(S99)*COS($D$394)*COS($D$373)+SIN(S99)*SIN($D$394)</f>
        <v>-0.0932104618720388</v>
      </c>
      <c r="V99" s="8">
        <f>COS($D$394)*COS($D$373)*(TAN($D$373)*COS(S102)-SIN(S99)*SIN(S102))+COS(S99)*SIN(S102)*SIN($D$394)</f>
        <v>-0.7334988862698921</v>
      </c>
      <c r="W99" s="8">
        <f>DEGREES(U102+T99+S99)</f>
        <v>6.710075490250031</v>
      </c>
      <c r="X99" s="8">
        <f>DEGREES(V102+T102+S102)</f>
        <v>-42.24850423985266</v>
      </c>
      <c r="Y99" s="28">
        <f>V102+T102+S102</f>
        <v>-0.737375503028213</v>
      </c>
      <c r="Z99" s="8">
        <f>RADIANS(A101)</f>
        <v>4.783705147779911</v>
      </c>
      <c r="AA99" s="8">
        <f>Z99+$K$2</f>
        <v>2.689310045386716</v>
      </c>
      <c r="AB99" s="8">
        <f>DEGREES(AA99)</f>
        <v>154.0861154027947</v>
      </c>
      <c r="AC99" s="8">
        <f>AB99-INT(AB99/360)*360</f>
        <v>154.0861154027947</v>
      </c>
      <c r="AD99" s="28">
        <f>SIN(Y99)*SIN($J$2)+COS(Y99)*COS($J$2)*COS(AA99)</f>
        <v>-0.24043150614101338</v>
      </c>
      <c r="AE99" s="28">
        <f>ASIN(AD99)</f>
        <v>-0.24281037299929928</v>
      </c>
      <c r="AF99" s="28">
        <f>(SIN(Y99)-SIN($J$2)*AD99)/(COS($J$2)*COS(AE99))</f>
        <v>-0.942830072184595</v>
      </c>
      <c r="AG99" s="8">
        <f>DEGREES(ACOS(AF99))</f>
        <v>160.5323945824063</v>
      </c>
      <c r="AH99" s="8">
        <f>IF(AC99&gt;180,AG99,360-AG99)</f>
        <v>199.4676054175937</v>
      </c>
      <c r="AI99" s="8">
        <f>DEGREES(AE99)</f>
        <v>-13.912009594857128</v>
      </c>
      <c r="AJ99" s="28">
        <f>$C$5-AI99</f>
        <v>80.7686762615238</v>
      </c>
      <c r="AK99" s="29">
        <f>$D$5-AH99</f>
        <v>28.432394582406317</v>
      </c>
      <c r="AL99" s="9">
        <f>AJ99*AJ99+AK99*AK99</f>
        <v>7331.980126728486</v>
      </c>
    </row>
    <row r="100" spans="1:38" s="8" customFormat="1" ht="12.75">
      <c r="A100" s="16" t="s">
        <v>137</v>
      </c>
      <c r="B100" s="16" t="s">
        <v>138</v>
      </c>
      <c r="C100" s="16" t="s">
        <v>135</v>
      </c>
      <c r="D100" s="16" t="s">
        <v>139</v>
      </c>
      <c r="E100" s="16" t="s">
        <v>138</v>
      </c>
      <c r="F100" s="16" t="s">
        <v>135</v>
      </c>
      <c r="M100" s="23">
        <v>26</v>
      </c>
      <c r="N100" s="23">
        <v>-18</v>
      </c>
      <c r="O100" s="8" t="s">
        <v>110</v>
      </c>
      <c r="P100" s="8" t="s">
        <v>111</v>
      </c>
      <c r="Q100" s="8">
        <f>COS($F$381)*COS(P102)*COS(O102+$B$381)-SIN($F$381)*SIN(P102)</f>
        <v>0.7353032191033139</v>
      </c>
      <c r="R100" s="8">
        <f>R99-360*INT(R99/360)</f>
        <v>6.706268380623635</v>
      </c>
      <c r="U100" s="8">
        <f>COS(S99)*COS($D$389)*COS($D$373)+SIN(S99)*SIN($D$389)</f>
        <v>0.054735829619416684</v>
      </c>
      <c r="V100" s="8">
        <f>COS($D$389)*COS($D$373)*(TAN($D$373)*COS(S102)-SIN(S99)*SIN(S102))+COS(S99)*SIN(S102)*SIN($D$389)</f>
        <v>0.7242287377288836</v>
      </c>
      <c r="AL100" s="9"/>
    </row>
    <row r="101" spans="1:38" s="8" customFormat="1" ht="12.75">
      <c r="A101" s="10">
        <f>($C$376+E99+F99/60)-INT(($C$376+E99+F99/60)/360)*360</f>
        <v>274.0861154027947</v>
      </c>
      <c r="B101" s="11">
        <f>TRUNC(A101)</f>
        <v>274</v>
      </c>
      <c r="C101" s="12">
        <f>(A101-B101)*60</f>
        <v>5.166924167681373</v>
      </c>
      <c r="D101" s="32" t="str">
        <f>IF(X99&gt;=0,"N","S")</f>
        <v>S</v>
      </c>
      <c r="E101" s="11">
        <f>ABS(TRUNC(X99))</f>
        <v>42</v>
      </c>
      <c r="F101" s="12">
        <f>ABS(X99-TRUNC(X99))*60</f>
        <v>14.910254391159441</v>
      </c>
      <c r="M101" s="30">
        <v>17.051</v>
      </c>
      <c r="N101" s="30">
        <v>-21.53</v>
      </c>
      <c r="O101" s="31">
        <f>M102+O99/3600*$A$367</f>
        <v>6.571757058278894</v>
      </c>
      <c r="P101" s="31">
        <f>N102+P99/3600*$A$367</f>
        <v>-42.3070611285534</v>
      </c>
      <c r="Q101" s="31">
        <f>SIN($F$381)*COS(P102)*COS(O102+$B$381)+COS($F$381)*SIN(P102)</f>
        <v>-0.6723180567065584</v>
      </c>
      <c r="R101" s="31" t="s">
        <v>139</v>
      </c>
      <c r="S101" s="20" t="s">
        <v>119</v>
      </c>
      <c r="T101" s="20" t="s">
        <v>122</v>
      </c>
      <c r="U101" s="20" t="s">
        <v>121</v>
      </c>
      <c r="V101" s="20" t="s">
        <v>122</v>
      </c>
      <c r="W101" s="20" t="s">
        <v>130</v>
      </c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9"/>
    </row>
    <row r="102" spans="1:38" s="8" customFormat="1" ht="12.75">
      <c r="A102" s="16"/>
      <c r="B102" s="16"/>
      <c r="C102" s="16"/>
      <c r="D102" s="16"/>
      <c r="E102" s="16"/>
      <c r="F102" s="16"/>
      <c r="M102" s="24">
        <f>(M99+M100/60+M101/3600)*15</f>
        <v>6.571045833333334</v>
      </c>
      <c r="N102" s="24">
        <f>N99+N100/60+N101/3600</f>
        <v>-42.30598055555555</v>
      </c>
      <c r="O102" s="8">
        <f>RADIANS(O101)</f>
        <v>0.11469879830814357</v>
      </c>
      <c r="P102" s="8">
        <f>RADIANS(P101)</f>
        <v>-0.7383975135357648</v>
      </c>
      <c r="R102" s="8">
        <f>DEGREES(ASIN(Q101))</f>
        <v>-42.24622661574597</v>
      </c>
      <c r="S102" s="8">
        <f>RADIANS(R102)</f>
        <v>-0.7373357509884285</v>
      </c>
      <c r="T102" s="8">
        <f>SIN($D$373)*COS(S99)*$A$370+SIN(S99)*$A$373</f>
        <v>3.342846820064285E-05</v>
      </c>
      <c r="U102" s="22">
        <f>($A$394*U99-U100)*$V$18/COS(S102)</f>
        <v>-7.5561592581508184E-06</v>
      </c>
      <c r="V102" s="22">
        <f>($A$394*V99-V100)*$V$18</f>
        <v>-7.318050798509605E-05</v>
      </c>
      <c r="W102" s="8">
        <f>360-W99</f>
        <v>353.28992450975</v>
      </c>
      <c r="AL102" s="9"/>
    </row>
    <row r="103" spans="1:38" s="8" customFormat="1" ht="12.75">
      <c r="A103" s="16" t="s">
        <v>140</v>
      </c>
      <c r="B103" s="16" t="s">
        <v>140</v>
      </c>
      <c r="C103" s="16" t="s">
        <v>140</v>
      </c>
      <c r="D103" s="16" t="s">
        <v>140</v>
      </c>
      <c r="E103" s="16" t="s">
        <v>140</v>
      </c>
      <c r="F103" s="16" t="s">
        <v>140</v>
      </c>
      <c r="M103" s="16" t="s">
        <v>140</v>
      </c>
      <c r="N103" s="16" t="s">
        <v>179</v>
      </c>
      <c r="O103" s="16" t="s">
        <v>140</v>
      </c>
      <c r="P103" s="16" t="s">
        <v>140</v>
      </c>
      <c r="Q103" s="16" t="s">
        <v>140</v>
      </c>
      <c r="R103" s="16" t="s">
        <v>140</v>
      </c>
      <c r="S103" s="16" t="s">
        <v>140</v>
      </c>
      <c r="T103" s="16" t="s">
        <v>179</v>
      </c>
      <c r="U103" s="16" t="s">
        <v>140</v>
      </c>
      <c r="V103" s="16" t="s">
        <v>140</v>
      </c>
      <c r="W103" s="16" t="s">
        <v>140</v>
      </c>
      <c r="X103" s="16" t="s">
        <v>140</v>
      </c>
      <c r="Y103" s="16" t="s">
        <v>140</v>
      </c>
      <c r="Z103" s="16" t="s">
        <v>179</v>
      </c>
      <c r="AA103" s="16" t="s">
        <v>140</v>
      </c>
      <c r="AB103" s="16" t="s">
        <v>140</v>
      </c>
      <c r="AC103" s="16" t="s">
        <v>140</v>
      </c>
      <c r="AD103" s="16" t="s">
        <v>140</v>
      </c>
      <c r="AE103" s="16" t="s">
        <v>140</v>
      </c>
      <c r="AF103" s="16" t="s">
        <v>179</v>
      </c>
      <c r="AG103" s="16" t="s">
        <v>140</v>
      </c>
      <c r="AH103" s="16" t="s">
        <v>140</v>
      </c>
      <c r="AI103" s="16" t="s">
        <v>140</v>
      </c>
      <c r="AJ103" s="16" t="s">
        <v>140</v>
      </c>
      <c r="AK103" s="16" t="s">
        <v>140</v>
      </c>
      <c r="AL103" s="9"/>
    </row>
    <row r="104" spans="1:38" s="8" customFormat="1" ht="12.75">
      <c r="A104" s="16"/>
      <c r="B104" s="16"/>
      <c r="C104" s="16"/>
      <c r="D104" s="16"/>
      <c r="E104" s="16"/>
      <c r="F104" s="16"/>
      <c r="M104" s="23" t="s">
        <v>104</v>
      </c>
      <c r="N104" s="23" t="s">
        <v>139</v>
      </c>
      <c r="O104" s="23" t="s">
        <v>106</v>
      </c>
      <c r="P104" s="23" t="s">
        <v>107</v>
      </c>
      <c r="Q104" s="8" t="s">
        <v>114</v>
      </c>
      <c r="R104" s="8" t="s">
        <v>104</v>
      </c>
      <c r="S104" s="8" t="s">
        <v>118</v>
      </c>
      <c r="T104" s="8" t="s">
        <v>121</v>
      </c>
      <c r="U104" s="8" t="s">
        <v>125</v>
      </c>
      <c r="V104" s="8" t="s">
        <v>126</v>
      </c>
      <c r="W104" s="8" t="s">
        <v>104</v>
      </c>
      <c r="X104" s="8" t="s">
        <v>139</v>
      </c>
      <c r="Y104" s="8" t="s">
        <v>67</v>
      </c>
      <c r="Z104" s="8" t="s">
        <v>68</v>
      </c>
      <c r="AA104" s="8" t="s">
        <v>69</v>
      </c>
      <c r="AB104" s="8" t="s">
        <v>74</v>
      </c>
      <c r="AC104" s="8" t="s">
        <v>73</v>
      </c>
      <c r="AD104" s="8" t="s">
        <v>70</v>
      </c>
      <c r="AE104" s="24" t="s">
        <v>75</v>
      </c>
      <c r="AF104" s="8" t="s">
        <v>71</v>
      </c>
      <c r="AG104" s="8" t="s">
        <v>72</v>
      </c>
      <c r="AH104" s="25" t="s">
        <v>76</v>
      </c>
      <c r="AI104" s="25" t="s">
        <v>77</v>
      </c>
      <c r="AJ104" s="24" t="s">
        <v>78</v>
      </c>
      <c r="AK104" s="24" t="s">
        <v>79</v>
      </c>
      <c r="AL104" s="9"/>
    </row>
    <row r="105" spans="1:38" s="8" customFormat="1" ht="12.75">
      <c r="A105" s="16" t="s">
        <v>179</v>
      </c>
      <c r="B105" s="26">
        <v>42</v>
      </c>
      <c r="C105" s="27">
        <v>1</v>
      </c>
      <c r="D105" s="18" t="s">
        <v>165</v>
      </c>
      <c r="E105" s="11">
        <f>TRUNC(W108)</f>
        <v>112</v>
      </c>
      <c r="F105" s="12">
        <f>ABS(W108-E105)*60</f>
        <v>28.74836251545105</v>
      </c>
      <c r="M105" s="23">
        <v>16</v>
      </c>
      <c r="N105" s="23">
        <v>-26</v>
      </c>
      <c r="O105" s="23">
        <v>-0.01016</v>
      </c>
      <c r="P105" s="23">
        <v>-0.02321</v>
      </c>
      <c r="Q105" s="8">
        <f>COS(P108)*SIN(O108+$B$381)</f>
        <v>-0.8268345797533458</v>
      </c>
      <c r="R105" s="8">
        <f>DEGREES(ATAN2(Q106,Q105))+$C$381</f>
        <v>-112.47903200135175</v>
      </c>
      <c r="S105" s="8">
        <f>RADIANS(R106)</f>
        <v>4.320055859299932</v>
      </c>
      <c r="T105" s="8">
        <f>(COS($D$373)+SIN($D$373)*SIN(S105)*TAN(S108))*$A$370-COS(S105)*TAN(S108)*$A$373</f>
        <v>9.317053408830622E-05</v>
      </c>
      <c r="U105" s="8">
        <f>COS(S105)*COS($D$394)*COS($D$373)+SIN(S105)*SIN($D$394)</f>
        <v>-0.8202087486934249</v>
      </c>
      <c r="V105" s="8">
        <f>COS($D$394)*COS($D$373)*(TAN($D$373)*COS(S108)-SIN(S105)*SIN(S108))+COS(S105)*SIN(S108)*SIN($D$394)</f>
        <v>0.17078824593730735</v>
      </c>
      <c r="W105" s="8">
        <f>DEGREES(U108+T105+S105)</f>
        <v>247.52086062474248</v>
      </c>
      <c r="X105" s="8">
        <f>DEGREES(V108+T108+S108)</f>
        <v>-26.455314135513277</v>
      </c>
      <c r="Y105" s="28">
        <f>V108+T108+S108</f>
        <v>-0.461732336314104</v>
      </c>
      <c r="Z105" s="8">
        <f>RADIANS(A107)</f>
        <v>0.5807640728704022</v>
      </c>
      <c r="AA105" s="8">
        <f>Z105+$K$2</f>
        <v>-1.513631029522793</v>
      </c>
      <c r="AB105" s="8">
        <f>DEGREES(AA105)</f>
        <v>-86.72466973169774</v>
      </c>
      <c r="AC105" s="8">
        <f>AB105-INT(AB105/360)*360</f>
        <v>273.27533026830224</v>
      </c>
      <c r="AD105" s="28">
        <f>SIN(Y105)*SIN($J$2)+COS(Y105)*COS($J$2)*COS(AA105)</f>
        <v>0.26704808794682783</v>
      </c>
      <c r="AE105" s="28">
        <f>ASIN(AD105)</f>
        <v>0.2703285694377865</v>
      </c>
      <c r="AF105" s="28">
        <f>(SIN(Y105)-SIN($J$2)*AD105)/(COS($J$2)*COS(AE105))</f>
        <v>-0.37381419669220506</v>
      </c>
      <c r="AG105" s="8">
        <f>DEGREES(ACOS(AF105))</f>
        <v>111.95104190212511</v>
      </c>
      <c r="AH105" s="8">
        <f>IF(AC105&gt;180,AG105,360-AG105)</f>
        <v>111.95104190212511</v>
      </c>
      <c r="AI105" s="8">
        <f>DEGREES(AE105)</f>
        <v>15.48868611059438</v>
      </c>
      <c r="AJ105" s="28">
        <f>$C$5-AI105</f>
        <v>51.36798055607229</v>
      </c>
      <c r="AK105" s="29">
        <f>$D$5-AH105</f>
        <v>115.9489580978749</v>
      </c>
      <c r="AL105" s="9">
        <f>AJ105*AJ105+AK105*AK105</f>
        <v>16082.830310391768</v>
      </c>
    </row>
    <row r="106" spans="1:38" s="8" customFormat="1" ht="12.75">
      <c r="A106" s="16" t="s">
        <v>137</v>
      </c>
      <c r="B106" s="16" t="s">
        <v>138</v>
      </c>
      <c r="C106" s="16" t="s">
        <v>135</v>
      </c>
      <c r="D106" s="16" t="s">
        <v>139</v>
      </c>
      <c r="E106" s="16" t="s">
        <v>138</v>
      </c>
      <c r="F106" s="16" t="s">
        <v>135</v>
      </c>
      <c r="M106" s="23">
        <v>29</v>
      </c>
      <c r="N106" s="23">
        <v>-25</v>
      </c>
      <c r="O106" s="8" t="s">
        <v>110</v>
      </c>
      <c r="P106" s="8" t="s">
        <v>111</v>
      </c>
      <c r="Q106" s="8">
        <f>COS($F$381)*COS(P108)*COS(O108+$B$381)-SIN($F$381)*SIN(P108)</f>
        <v>-0.3433234236853337</v>
      </c>
      <c r="R106" s="8">
        <f>R105-360*INT(R105/360)</f>
        <v>247.52096799864825</v>
      </c>
      <c r="U106" s="8">
        <f>COS(S105)*COS($D$389)*COS($D$373)+SIN(S105)*SIN($D$389)</f>
        <v>0.8426513540478305</v>
      </c>
      <c r="V106" s="8">
        <f>COS($D$389)*COS($D$373)*(TAN($D$373)*COS(S108)-SIN(S105)*SIN(S108))+COS(S105)*SIN(S108)*SIN($D$389)</f>
        <v>-0.17137933717107431</v>
      </c>
      <c r="AL106" s="9"/>
    </row>
    <row r="107" spans="1:38" s="8" customFormat="1" ht="12.75">
      <c r="A107" s="10">
        <f>($C$376+E105+F105/60)-INT(($C$376+E105+F105/60)/360)*360</f>
        <v>33.27533026830224</v>
      </c>
      <c r="B107" s="11">
        <f>TRUNC(A107)</f>
        <v>33</v>
      </c>
      <c r="C107" s="12">
        <f>(A107-B107)*60</f>
        <v>16.51981609813447</v>
      </c>
      <c r="D107" s="32" t="str">
        <f>IF(X105&gt;=0,"N","S")</f>
        <v>S</v>
      </c>
      <c r="E107" s="11">
        <f>ABS(TRUNC(X105))</f>
        <v>26</v>
      </c>
      <c r="F107" s="12">
        <f>ABS(X105-TRUNC(X105))*60</f>
        <v>27.318848130796596</v>
      </c>
      <c r="M107" s="30">
        <v>24.461</v>
      </c>
      <c r="N107" s="30">
        <v>-55.21</v>
      </c>
      <c r="O107" s="31">
        <f>M108+O105/3600*$A$367</f>
        <v>247.35188978695118</v>
      </c>
      <c r="P107" s="31">
        <f>N108+P105/3600*$A$367</f>
        <v>-26.432073701648825</v>
      </c>
      <c r="Q107" s="31">
        <f>SIN($F$381)*COS(P108)*COS(O108+$B$381)+COS($F$381)*SIN(P108)</f>
        <v>-0.44550376482482046</v>
      </c>
      <c r="R107" s="31" t="s">
        <v>139</v>
      </c>
      <c r="S107" s="20" t="s">
        <v>119</v>
      </c>
      <c r="T107" s="20" t="s">
        <v>122</v>
      </c>
      <c r="U107" s="20" t="s">
        <v>121</v>
      </c>
      <c r="V107" s="20" t="s">
        <v>122</v>
      </c>
      <c r="W107" s="20" t="s">
        <v>130</v>
      </c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9"/>
    </row>
    <row r="108" spans="1:38" s="8" customFormat="1" ht="12.75">
      <c r="A108" s="16"/>
      <c r="B108" s="16"/>
      <c r="C108" s="16"/>
      <c r="D108" s="16"/>
      <c r="E108" s="16"/>
      <c r="F108" s="16"/>
      <c r="M108" s="24">
        <f>(M105+M106/60+M107/3600)*15</f>
        <v>247.35192083333334</v>
      </c>
      <c r="N108" s="24">
        <f>N105+N106/60+N107/3600</f>
        <v>-26.43200277777778</v>
      </c>
      <c r="O108" s="8">
        <f>RADIANS(O107)</f>
        <v>4.317104887812433</v>
      </c>
      <c r="P108" s="8">
        <f>RADIANS(P107)</f>
        <v>-0.46132671422357735</v>
      </c>
      <c r="R108" s="8">
        <f>DEGREES(ASIN(Q107))</f>
        <v>-26.45557399726457</v>
      </c>
      <c r="S108" s="8">
        <f>RADIANS(R108)</f>
        <v>-0.4617368717572641</v>
      </c>
      <c r="T108" s="8">
        <f>SIN($D$373)*COS(S105)*$A$370+SIN(S105)*$A$373</f>
        <v>-1.2777152749049639E-05</v>
      </c>
      <c r="U108" s="22">
        <f>($A$394*U105-U106)*$V$18/COS(S108)</f>
        <v>-9.504456227490485E-05</v>
      </c>
      <c r="V108" s="22">
        <f>($A$394*V105-V106)*$V$18</f>
        <v>1.7312595909151898E-05</v>
      </c>
      <c r="W108" s="8">
        <f>360-W105</f>
        <v>112.47913937525752</v>
      </c>
      <c r="AL108" s="9"/>
    </row>
    <row r="109" spans="1:38" s="8" customFormat="1" ht="12.75">
      <c r="A109" s="16" t="s">
        <v>140</v>
      </c>
      <c r="B109" s="16" t="s">
        <v>140</v>
      </c>
      <c r="C109" s="16" t="s">
        <v>140</v>
      </c>
      <c r="D109" s="16" t="s">
        <v>140</v>
      </c>
      <c r="E109" s="16" t="s">
        <v>140</v>
      </c>
      <c r="F109" s="16" t="s">
        <v>140</v>
      </c>
      <c r="M109" s="16" t="s">
        <v>140</v>
      </c>
      <c r="N109" s="16" t="s">
        <v>180</v>
      </c>
      <c r="O109" s="16" t="s">
        <v>140</v>
      </c>
      <c r="P109" s="16" t="s">
        <v>140</v>
      </c>
      <c r="Q109" s="16" t="s">
        <v>140</v>
      </c>
      <c r="R109" s="16" t="s">
        <v>140</v>
      </c>
      <c r="S109" s="16" t="s">
        <v>140</v>
      </c>
      <c r="T109" s="16" t="s">
        <v>180</v>
      </c>
      <c r="U109" s="16" t="s">
        <v>140</v>
      </c>
      <c r="V109" s="16" t="s">
        <v>140</v>
      </c>
      <c r="W109" s="16" t="s">
        <v>140</v>
      </c>
      <c r="X109" s="16" t="s">
        <v>140</v>
      </c>
      <c r="Y109" s="16" t="s">
        <v>140</v>
      </c>
      <c r="Z109" s="16" t="s">
        <v>180</v>
      </c>
      <c r="AA109" s="16" t="s">
        <v>140</v>
      </c>
      <c r="AB109" s="16" t="s">
        <v>140</v>
      </c>
      <c r="AC109" s="16" t="s">
        <v>140</v>
      </c>
      <c r="AD109" s="16" t="s">
        <v>140</v>
      </c>
      <c r="AE109" s="16" t="s">
        <v>140</v>
      </c>
      <c r="AF109" s="16" t="s">
        <v>180</v>
      </c>
      <c r="AG109" s="16" t="s">
        <v>140</v>
      </c>
      <c r="AH109" s="16" t="s">
        <v>140</v>
      </c>
      <c r="AI109" s="16" t="s">
        <v>140</v>
      </c>
      <c r="AJ109" s="16" t="s">
        <v>140</v>
      </c>
      <c r="AK109" s="16" t="s">
        <v>140</v>
      </c>
      <c r="AL109" s="9"/>
    </row>
    <row r="110" spans="1:38" s="8" customFormat="1" ht="12.75">
      <c r="A110" s="16"/>
      <c r="B110" s="16"/>
      <c r="C110" s="16"/>
      <c r="D110" s="16"/>
      <c r="E110" s="16"/>
      <c r="F110" s="16"/>
      <c r="M110" s="23" t="s">
        <v>104</v>
      </c>
      <c r="N110" s="23" t="s">
        <v>139</v>
      </c>
      <c r="O110" s="23" t="s">
        <v>106</v>
      </c>
      <c r="P110" s="23" t="s">
        <v>107</v>
      </c>
      <c r="Q110" s="8" t="s">
        <v>114</v>
      </c>
      <c r="R110" s="8" t="s">
        <v>104</v>
      </c>
      <c r="S110" s="8" t="s">
        <v>118</v>
      </c>
      <c r="T110" s="8" t="s">
        <v>121</v>
      </c>
      <c r="U110" s="8" t="s">
        <v>125</v>
      </c>
      <c r="V110" s="8" t="s">
        <v>126</v>
      </c>
      <c r="W110" s="8" t="s">
        <v>104</v>
      </c>
      <c r="X110" s="8" t="s">
        <v>139</v>
      </c>
      <c r="Y110" s="8" t="s">
        <v>67</v>
      </c>
      <c r="Z110" s="8" t="s">
        <v>68</v>
      </c>
      <c r="AA110" s="8" t="s">
        <v>69</v>
      </c>
      <c r="AB110" s="8" t="s">
        <v>74</v>
      </c>
      <c r="AC110" s="8" t="s">
        <v>73</v>
      </c>
      <c r="AD110" s="8" t="s">
        <v>70</v>
      </c>
      <c r="AE110" s="24" t="s">
        <v>75</v>
      </c>
      <c r="AF110" s="8" t="s">
        <v>71</v>
      </c>
      <c r="AG110" s="8" t="s">
        <v>72</v>
      </c>
      <c r="AH110" s="25" t="s">
        <v>76</v>
      </c>
      <c r="AI110" s="25" t="s">
        <v>77</v>
      </c>
      <c r="AJ110" s="24" t="s">
        <v>78</v>
      </c>
      <c r="AK110" s="24" t="s">
        <v>79</v>
      </c>
      <c r="AL110" s="9"/>
    </row>
    <row r="111" spans="1:38" s="8" customFormat="1" ht="12.75">
      <c r="A111" s="16" t="s">
        <v>180</v>
      </c>
      <c r="B111" s="26">
        <v>37</v>
      </c>
      <c r="C111" s="27">
        <v>0</v>
      </c>
      <c r="D111" s="18" t="s">
        <v>165</v>
      </c>
      <c r="E111" s="11">
        <f>TRUNC(W114)</f>
        <v>145</v>
      </c>
      <c r="F111" s="12">
        <f>ABS(W114-E111)*60</f>
        <v>57.444259422643995</v>
      </c>
      <c r="M111" s="23">
        <v>14</v>
      </c>
      <c r="N111" s="23">
        <v>19</v>
      </c>
      <c r="O111" s="23">
        <v>-1.09343</v>
      </c>
      <c r="P111" s="23">
        <v>-1.99943</v>
      </c>
      <c r="Q111" s="8">
        <f>COS(P114)*SIN(O114+$B$381)</f>
        <v>-0.5279244641876568</v>
      </c>
      <c r="R111" s="8">
        <f>DEGREES(ATAN2(Q112,Q111))+$C$381</f>
        <v>-145.95897843557677</v>
      </c>
      <c r="S111" s="8">
        <f>RADIANS(R112)</f>
        <v>3.7357205606313695</v>
      </c>
      <c r="T111" s="8">
        <f>(COS($D$373)+SIN($D$373)*SIN(S111)*TAN(S114))*$A$370-COS(S111)*TAN(S114)*$A$373</f>
        <v>7.110203411332477E-05</v>
      </c>
      <c r="U111" s="8">
        <f>COS(S111)*COS($D$394)*COS($D$373)+SIN(S111)*SIN($D$394)</f>
        <v>-0.37250139521974407</v>
      </c>
      <c r="V111" s="8">
        <f>COS($D$394)*COS($D$373)*(TAN($D$373)*COS(S114)-SIN(S111)*SIN(S114))+COS(S111)*SIN(S114)*SIN($D$394)</f>
        <v>-0.3879599684656925</v>
      </c>
      <c r="W111" s="8">
        <f>DEGREES(U114+T111+S111)</f>
        <v>214.04259567628927</v>
      </c>
      <c r="X111" s="8">
        <f>DEGREES(V114+T114+S114)</f>
        <v>19.121785774428897</v>
      </c>
      <c r="Y111" s="28">
        <f>V114+T114+S114</f>
        <v>0.33373812062479796</v>
      </c>
      <c r="Z111" s="8">
        <f>RADIANS(A113)</f>
        <v>1.1650700240759206</v>
      </c>
      <c r="AA111" s="8">
        <f>Z111+$K$2</f>
        <v>-0.9293250783172746</v>
      </c>
      <c r="AB111" s="8">
        <f>DEGREES(AA111)</f>
        <v>-53.24640478324453</v>
      </c>
      <c r="AC111" s="8">
        <f>AB111-INT(AB111/360)*360</f>
        <v>306.75359521675546</v>
      </c>
      <c r="AD111" s="28">
        <f>SIN(Y111)*SIN($J$2)+COS(Y111)*COS($J$2)*COS(AA111)</f>
        <v>0.32582684003196294</v>
      </c>
      <c r="AE111" s="28">
        <f>ASIN(AD111)</f>
        <v>0.3318861619842219</v>
      </c>
      <c r="AF111" s="28">
        <f>(SIN(Y111)-SIN($J$2)*AD111)/(COS($J$2)*COS(AE111))</f>
        <v>0.5990608266677112</v>
      </c>
      <c r="AG111" s="8">
        <f>DEGREES(ACOS(AF111))</f>
        <v>53.19733611899135</v>
      </c>
      <c r="AH111" s="8">
        <f>IF(AC111&gt;180,AG111,360-AG111)</f>
        <v>53.19733611899135</v>
      </c>
      <c r="AI111" s="8">
        <f>DEGREES(AE111)</f>
        <v>19.015676360491103</v>
      </c>
      <c r="AJ111" s="28">
        <f>$C$5-AI111</f>
        <v>47.84099030617557</v>
      </c>
      <c r="AK111" s="29">
        <f>$D$5-AH111</f>
        <v>174.70266388100865</v>
      </c>
      <c r="AL111" s="9">
        <f>AJ111*AJ111+AK111*AK111</f>
        <v>32809.78112059627</v>
      </c>
    </row>
    <row r="112" spans="1:38" s="8" customFormat="1" ht="12.75">
      <c r="A112" s="16" t="s">
        <v>137</v>
      </c>
      <c r="B112" s="16" t="s">
        <v>138</v>
      </c>
      <c r="C112" s="16" t="s">
        <v>135</v>
      </c>
      <c r="D112" s="16" t="s">
        <v>139</v>
      </c>
      <c r="E112" s="16" t="s">
        <v>138</v>
      </c>
      <c r="F112" s="16" t="s">
        <v>135</v>
      </c>
      <c r="M112" s="23">
        <v>15</v>
      </c>
      <c r="N112" s="23">
        <v>10</v>
      </c>
      <c r="O112" s="8" t="s">
        <v>110</v>
      </c>
      <c r="P112" s="8" t="s">
        <v>111</v>
      </c>
      <c r="Q112" s="8">
        <f>COS($F$381)*COS(P114)*COS(O114+$B$381)-SIN($F$381)*SIN(P114)</f>
        <v>-0.7835487765924181</v>
      </c>
      <c r="R112" s="8">
        <f>R111-360*INT(R111/360)</f>
        <v>214.04102156442323</v>
      </c>
      <c r="U112" s="8">
        <f>COS(S111)*COS($D$389)*COS($D$373)+SIN(S111)*SIN($D$389)</f>
        <v>0.4086159685471704</v>
      </c>
      <c r="V112" s="8">
        <f>COS($D$389)*COS($D$373)*(TAN($D$373)*COS(S114)-SIN(S111)*SIN(S114))+COS(S111)*SIN(S114)*SIN($D$389)</f>
        <v>0.3679492180760797</v>
      </c>
      <c r="AL112" s="9"/>
    </row>
    <row r="113" spans="1:38" s="8" customFormat="1" ht="12.75">
      <c r="A113" s="10">
        <f>($C$376+E111+F111/60)-INT(($C$376+E111+F111/60)/360)*360</f>
        <v>66.75359521675546</v>
      </c>
      <c r="B113" s="11">
        <f>TRUNC(A113)</f>
        <v>66</v>
      </c>
      <c r="C113" s="12">
        <f>(A113-B113)*60</f>
        <v>45.215713005327416</v>
      </c>
      <c r="D113" s="32" t="str">
        <f>IF(X111&gt;=0,"N","S")</f>
        <v>N</v>
      </c>
      <c r="E113" s="11">
        <f>ABS(TRUNC(X111))</f>
        <v>19</v>
      </c>
      <c r="F113" s="12">
        <f>ABS(X111-TRUNC(X111))*60</f>
        <v>7.3071464657338225</v>
      </c>
      <c r="M113" s="30">
        <v>39.672</v>
      </c>
      <c r="N113" s="30">
        <v>56.68</v>
      </c>
      <c r="O113" s="31">
        <f>M114+O111/3600*$A$367</f>
        <v>213.91195875535027</v>
      </c>
      <c r="P113" s="31">
        <f>N114+P111/3600*$A$367</f>
        <v>19.17630136033603</v>
      </c>
      <c r="Q113" s="31">
        <f>SIN($F$381)*COS(P114)*COS(O114+$B$381)+COS($F$381)*SIN(P114)</f>
        <v>0.327638634493401</v>
      </c>
      <c r="R113" s="31" t="s">
        <v>139</v>
      </c>
      <c r="S113" s="20" t="s">
        <v>119</v>
      </c>
      <c r="T113" s="20" t="s">
        <v>122</v>
      </c>
      <c r="U113" s="20" t="s">
        <v>121</v>
      </c>
      <c r="V113" s="20" t="s">
        <v>122</v>
      </c>
      <c r="W113" s="20" t="s">
        <v>130</v>
      </c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9"/>
    </row>
    <row r="114" spans="1:38" s="8" customFormat="1" ht="12.75">
      <c r="A114" s="16"/>
      <c r="B114" s="16"/>
      <c r="C114" s="16"/>
      <c r="D114" s="16"/>
      <c r="E114" s="16"/>
      <c r="F114" s="16"/>
      <c r="M114" s="24">
        <f>(M111+M112/60+M113/3600)*15</f>
        <v>213.9153</v>
      </c>
      <c r="N114" s="24">
        <f>N111+N112/60+N113/3600</f>
        <v>19.18241111111111</v>
      </c>
      <c r="O114" s="8">
        <f>RADIANS(O113)</f>
        <v>3.7334679896711735</v>
      </c>
      <c r="P114" s="8">
        <f>RADIANS(P113)</f>
        <v>0.33468959709253127</v>
      </c>
      <c r="R114" s="8">
        <f>DEGREES(ASIN(Q113))</f>
        <v>19.12551273238182</v>
      </c>
      <c r="S114" s="8">
        <f>RADIANS(R114)</f>
        <v>0.3338031683121599</v>
      </c>
      <c r="T114" s="8">
        <f>SIN($D$373)*COS(S111)*$A$370+SIN(S111)*$A$373</f>
        <v>-2.784244795383226E-05</v>
      </c>
      <c r="U114" s="22">
        <f>($A$394*U111-U112)*$V$18/COS(S114)</f>
        <v>-4.362859925608645E-05</v>
      </c>
      <c r="V114" s="22">
        <f>($A$394*V111-V112)*$V$18</f>
        <v>-3.720523940809276E-05</v>
      </c>
      <c r="W114" s="8">
        <f>360-W111</f>
        <v>145.95740432371073</v>
      </c>
      <c r="AL114" s="9"/>
    </row>
    <row r="115" spans="1:38" s="8" customFormat="1" ht="12.75">
      <c r="A115" s="16" t="s">
        <v>140</v>
      </c>
      <c r="B115" s="16" t="s">
        <v>140</v>
      </c>
      <c r="C115" s="16" t="s">
        <v>140</v>
      </c>
      <c r="D115" s="16" t="s">
        <v>140</v>
      </c>
      <c r="E115" s="16" t="s">
        <v>140</v>
      </c>
      <c r="F115" s="16" t="s">
        <v>140</v>
      </c>
      <c r="M115" s="16" t="s">
        <v>140</v>
      </c>
      <c r="N115" s="16" t="s">
        <v>181</v>
      </c>
      <c r="O115" s="16" t="s">
        <v>140</v>
      </c>
      <c r="P115" s="16" t="s">
        <v>140</v>
      </c>
      <c r="Q115" s="16" t="s">
        <v>140</v>
      </c>
      <c r="R115" s="16" t="s">
        <v>140</v>
      </c>
      <c r="S115" s="16" t="s">
        <v>140</v>
      </c>
      <c r="T115" s="16" t="s">
        <v>181</v>
      </c>
      <c r="U115" s="16" t="s">
        <v>140</v>
      </c>
      <c r="V115" s="16" t="s">
        <v>140</v>
      </c>
      <c r="W115" s="16" t="s">
        <v>140</v>
      </c>
      <c r="X115" s="16" t="s">
        <v>140</v>
      </c>
      <c r="Y115" s="16" t="s">
        <v>140</v>
      </c>
      <c r="Z115" s="16" t="s">
        <v>181</v>
      </c>
      <c r="AA115" s="16" t="s">
        <v>140</v>
      </c>
      <c r="AB115" s="16" t="s">
        <v>140</v>
      </c>
      <c r="AC115" s="16" t="s">
        <v>140</v>
      </c>
      <c r="AD115" s="16" t="s">
        <v>140</v>
      </c>
      <c r="AE115" s="16" t="s">
        <v>140</v>
      </c>
      <c r="AF115" s="16" t="s">
        <v>181</v>
      </c>
      <c r="AG115" s="16" t="s">
        <v>140</v>
      </c>
      <c r="AH115" s="16" t="s">
        <v>140</v>
      </c>
      <c r="AI115" s="16" t="s">
        <v>140</v>
      </c>
      <c r="AJ115" s="16" t="s">
        <v>140</v>
      </c>
      <c r="AK115" s="16" t="s">
        <v>140</v>
      </c>
      <c r="AL115" s="9"/>
    </row>
    <row r="116" spans="1:38" s="8" customFormat="1" ht="12.75">
      <c r="A116" s="16"/>
      <c r="B116" s="16"/>
      <c r="C116" s="16"/>
      <c r="D116" s="16"/>
      <c r="E116" s="16"/>
      <c r="F116" s="16"/>
      <c r="M116" s="23" t="s">
        <v>104</v>
      </c>
      <c r="N116" s="23" t="s">
        <v>139</v>
      </c>
      <c r="O116" s="23" t="s">
        <v>106</v>
      </c>
      <c r="P116" s="23" t="s">
        <v>107</v>
      </c>
      <c r="Q116" s="8" t="s">
        <v>114</v>
      </c>
      <c r="R116" s="8" t="s">
        <v>104</v>
      </c>
      <c r="S116" s="8" t="s">
        <v>118</v>
      </c>
      <c r="T116" s="8" t="s">
        <v>121</v>
      </c>
      <c r="U116" s="8" t="s">
        <v>125</v>
      </c>
      <c r="V116" s="8" t="s">
        <v>126</v>
      </c>
      <c r="W116" s="8" t="s">
        <v>104</v>
      </c>
      <c r="X116" s="8" t="s">
        <v>139</v>
      </c>
      <c r="Y116" s="8" t="s">
        <v>67</v>
      </c>
      <c r="Z116" s="8" t="s">
        <v>68</v>
      </c>
      <c r="AA116" s="8" t="s">
        <v>69</v>
      </c>
      <c r="AB116" s="8" t="s">
        <v>74</v>
      </c>
      <c r="AC116" s="8" t="s">
        <v>73</v>
      </c>
      <c r="AD116" s="8" t="s">
        <v>70</v>
      </c>
      <c r="AE116" s="24" t="s">
        <v>75</v>
      </c>
      <c r="AF116" s="8" t="s">
        <v>71</v>
      </c>
      <c r="AG116" s="8" t="s">
        <v>72</v>
      </c>
      <c r="AH116" s="25" t="s">
        <v>76</v>
      </c>
      <c r="AI116" s="25" t="s">
        <v>77</v>
      </c>
      <c r="AJ116" s="24" t="s">
        <v>78</v>
      </c>
      <c r="AK116" s="24" t="s">
        <v>79</v>
      </c>
      <c r="AL116" s="9"/>
    </row>
    <row r="117" spans="1:38" s="8" customFormat="1" ht="12.75">
      <c r="A117" s="16" t="s">
        <v>181</v>
      </c>
      <c r="B117" s="26">
        <v>43</v>
      </c>
      <c r="C117" s="27">
        <v>1.9</v>
      </c>
      <c r="D117" s="18" t="s">
        <v>165</v>
      </c>
      <c r="E117" s="11">
        <f>TRUNC(W120)</f>
        <v>107</v>
      </c>
      <c r="F117" s="12">
        <f>ABS(W120-E117)*60</f>
        <v>32.73197871090758</v>
      </c>
      <c r="M117" s="23">
        <v>16</v>
      </c>
      <c r="N117" s="23">
        <v>-69</v>
      </c>
      <c r="O117" s="23">
        <v>0.01785</v>
      </c>
      <c r="P117" s="23">
        <v>-0.03292</v>
      </c>
      <c r="Q117" s="8">
        <f>COS(P120)*SIN(O120+$B$381)</f>
        <v>-0.3408512241877225</v>
      </c>
      <c r="R117" s="8">
        <f>DEGREES(ATAN2(Q118,Q117))+$C$381</f>
        <v>-107.54046501958605</v>
      </c>
      <c r="S117" s="8">
        <f>RADIANS(R118)</f>
        <v>4.406250113462021</v>
      </c>
      <c r="T117" s="8">
        <f>(COS($D$373)+SIN($D$373)*SIN(S117)*TAN(S120))*$A$370-COS(S117)*TAN(S120)*$A$373</f>
        <v>0.00016159167184416197</v>
      </c>
      <c r="U117" s="8">
        <f>COS(S117)*COS($D$394)*COS($D$373)+SIN(S117)*SIN($D$394)</f>
        <v>-0.8657935801864256</v>
      </c>
      <c r="V117" s="8">
        <f>COS($D$394)*COS($D$373)*(TAN($D$373)*COS(S120)-SIN(S117)*SIN(S120))+COS(S117)*SIN(S120)*SIN($D$394)</f>
        <v>0.42732972172203687</v>
      </c>
      <c r="W117" s="8">
        <f>DEGREES(U120+T117+S117)</f>
        <v>252.45446702148487</v>
      </c>
      <c r="X117" s="8">
        <f>DEGREES(V120+T120+S120)</f>
        <v>-69.04466812714813</v>
      </c>
      <c r="Y117" s="28">
        <f>V120+T120+S120</f>
        <v>-1.2050567897655218</v>
      </c>
      <c r="Z117" s="8">
        <f>RADIANS(A119)</f>
        <v>0.4946563972497929</v>
      </c>
      <c r="AA117" s="8">
        <f>Z117+$K$2</f>
        <v>-1.5997387051434024</v>
      </c>
      <c r="AB117" s="8">
        <f>DEGREES(AA117)</f>
        <v>-91.6582761284402</v>
      </c>
      <c r="AC117" s="8">
        <f>AB117-INT(AB117/360)*360</f>
        <v>268.3417238715598</v>
      </c>
      <c r="AD117" s="28">
        <f>SIN(Y117)*SIN($J$2)+COS(Y117)*COS($J$2)*COS(AA117)</f>
        <v>0.45796682775109254</v>
      </c>
      <c r="AE117" s="28">
        <f>ASIN(AD117)</f>
        <v>0.47570673561560006</v>
      </c>
      <c r="AF117" s="28">
        <f>(SIN(Y117)-SIN($J$2)*AD117)/(COS($J$2)*COS(AE117))</f>
        <v>-0.9155781255678743</v>
      </c>
      <c r="AG117" s="8">
        <f>DEGREES(ACOS(AF117))</f>
        <v>156.28796239397167</v>
      </c>
      <c r="AH117" s="8">
        <f>IF(AC117&gt;180,AG117,360-AG117)</f>
        <v>156.28796239397167</v>
      </c>
      <c r="AI117" s="8">
        <f>DEGREES(AE117)</f>
        <v>27.255988236719567</v>
      </c>
      <c r="AJ117" s="28">
        <f>$C$5-AI117</f>
        <v>39.6006784299471</v>
      </c>
      <c r="AK117" s="29">
        <f>$D$5-AH117</f>
        <v>71.61203760602834</v>
      </c>
      <c r="AL117" s="9">
        <f>AJ117*AJ117+AK117*AK117</f>
        <v>6696.497662199294</v>
      </c>
    </row>
    <row r="118" spans="1:38" s="8" customFormat="1" ht="12.75">
      <c r="A118" s="16" t="s">
        <v>137</v>
      </c>
      <c r="B118" s="16" t="s">
        <v>138</v>
      </c>
      <c r="C118" s="16" t="s">
        <v>135</v>
      </c>
      <c r="D118" s="16" t="s">
        <v>139</v>
      </c>
      <c r="E118" s="16" t="s">
        <v>138</v>
      </c>
      <c r="F118" s="16" t="s">
        <v>135</v>
      </c>
      <c r="M118" s="23">
        <v>48</v>
      </c>
      <c r="N118" s="23">
        <v>-1</v>
      </c>
      <c r="O118" s="8" t="s">
        <v>110</v>
      </c>
      <c r="P118" s="8" t="s">
        <v>111</v>
      </c>
      <c r="Q118" s="8">
        <f>COS($F$381)*COS(P120)*COS(O120+$B$381)-SIN($F$381)*SIN(P120)</f>
        <v>-0.10819601824855933</v>
      </c>
      <c r="R118" s="8">
        <f>R117-360*INT(R117/360)</f>
        <v>252.45953498041393</v>
      </c>
      <c r="U118" s="8">
        <f>COS(S117)*COS($D$389)*COS($D$373)+SIN(S117)*SIN($D$389)</f>
        <v>0.885438169373336</v>
      </c>
      <c r="V118" s="8">
        <f>COS($D$389)*COS($D$373)*(TAN($D$373)*COS(S120)-SIN(S117)*SIN(S120))+COS(S117)*SIN(S120)*SIN($D$389)</f>
        <v>-0.402033642192911</v>
      </c>
      <c r="AL118" s="9"/>
    </row>
    <row r="119" spans="1:38" s="8" customFormat="1" ht="12.75">
      <c r="A119" s="10">
        <f>($C$376+E117+F117/60)-INT(($C$376+E117+F117/60)/360)*360</f>
        <v>28.341723871559793</v>
      </c>
      <c r="B119" s="11">
        <f>TRUNC(A119)</f>
        <v>28</v>
      </c>
      <c r="C119" s="12">
        <f>(A119-B119)*60</f>
        <v>20.503432293587593</v>
      </c>
      <c r="D119" s="32" t="str">
        <f>IF(X117&gt;=0,"N","S")</f>
        <v>S</v>
      </c>
      <c r="E119" s="11">
        <f>ABS(TRUNC(X117))</f>
        <v>69</v>
      </c>
      <c r="F119" s="12">
        <f>ABS(X117-TRUNC(X117))*60</f>
        <v>2.6800876288876907</v>
      </c>
      <c r="M119" s="30">
        <v>39.895</v>
      </c>
      <c r="N119" s="30">
        <v>-39.77</v>
      </c>
      <c r="O119" s="31">
        <f>M120+O117/3600*$A$367</f>
        <v>252.1662837117377</v>
      </c>
      <c r="P119" s="31">
        <f>N120+P117/3600*$A$367</f>
        <v>-69.02781448405626</v>
      </c>
      <c r="Q119" s="31">
        <f>SIN($F$381)*COS(P120)*COS(O120+$B$381)+COS($F$381)*SIN(P120)</f>
        <v>-0.9338704752827814</v>
      </c>
      <c r="R119" s="31" t="s">
        <v>139</v>
      </c>
      <c r="S119" s="20" t="s">
        <v>119</v>
      </c>
      <c r="T119" s="20" t="s">
        <v>122</v>
      </c>
      <c r="U119" s="20" t="s">
        <v>121</v>
      </c>
      <c r="V119" s="20" t="s">
        <v>122</v>
      </c>
      <c r="W119" s="20" t="s">
        <v>130</v>
      </c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9"/>
    </row>
    <row r="120" spans="1:38" s="8" customFormat="1" ht="12.75">
      <c r="A120" s="16"/>
      <c r="B120" s="16"/>
      <c r="C120" s="16"/>
      <c r="D120" s="16"/>
      <c r="E120" s="16"/>
      <c r="F120" s="16"/>
      <c r="M120" s="24">
        <f>(M117+M118/60+M119/3600)*15</f>
        <v>252.16622916666668</v>
      </c>
      <c r="N120" s="24">
        <f>N117+N118/60+N119/3600</f>
        <v>-69.02771388888888</v>
      </c>
      <c r="O120" s="8">
        <f>RADIANS(O119)</f>
        <v>4.40113191328797</v>
      </c>
      <c r="P120" s="8">
        <f>RADIANS(P119)</f>
        <v>-1.2047626382026126</v>
      </c>
      <c r="R120" s="8">
        <f>DEGREES(ASIN(Q119))</f>
        <v>-69.04642192447191</v>
      </c>
      <c r="S120" s="8">
        <f>RADIANS(R120)</f>
        <v>-1.2050873993032345</v>
      </c>
      <c r="T120" s="8">
        <f>SIN($D$373)*COS(S117)*$A$370+SIN(S117)*$A$373</f>
        <v>-1.0047849121021126E-05</v>
      </c>
      <c r="U120" s="22">
        <f>($A$394*U117-U118)*$V$18/COS(S120)</f>
        <v>-0.00025004424151196184</v>
      </c>
      <c r="V120" s="22">
        <f>($A$394*V117-V118)*$V$18</f>
        <v>4.065738683366117E-05</v>
      </c>
      <c r="W120" s="8">
        <f>360-W117</f>
        <v>107.54553297851513</v>
      </c>
      <c r="AL120" s="9"/>
    </row>
    <row r="121" spans="1:38" s="8" customFormat="1" ht="12.75">
      <c r="A121" s="16" t="s">
        <v>140</v>
      </c>
      <c r="B121" s="16" t="s">
        <v>140</v>
      </c>
      <c r="C121" s="16" t="s">
        <v>140</v>
      </c>
      <c r="D121" s="16" t="s">
        <v>140</v>
      </c>
      <c r="E121" s="16" t="s">
        <v>140</v>
      </c>
      <c r="F121" s="16" t="s">
        <v>140</v>
      </c>
      <c r="M121" s="16" t="s">
        <v>140</v>
      </c>
      <c r="N121" s="16" t="s">
        <v>182</v>
      </c>
      <c r="O121" s="16" t="s">
        <v>140</v>
      </c>
      <c r="P121" s="16" t="s">
        <v>140</v>
      </c>
      <c r="Q121" s="16" t="s">
        <v>140</v>
      </c>
      <c r="R121" s="16" t="s">
        <v>140</v>
      </c>
      <c r="S121" s="16" t="s">
        <v>140</v>
      </c>
      <c r="T121" s="16" t="s">
        <v>182</v>
      </c>
      <c r="U121" s="16" t="s">
        <v>140</v>
      </c>
      <c r="V121" s="16" t="s">
        <v>140</v>
      </c>
      <c r="W121" s="16" t="s">
        <v>140</v>
      </c>
      <c r="X121" s="16" t="s">
        <v>140</v>
      </c>
      <c r="Y121" s="16" t="s">
        <v>140</v>
      </c>
      <c r="Z121" s="16" t="s">
        <v>182</v>
      </c>
      <c r="AA121" s="16" t="s">
        <v>140</v>
      </c>
      <c r="AB121" s="16" t="s">
        <v>140</v>
      </c>
      <c r="AC121" s="16" t="s">
        <v>140</v>
      </c>
      <c r="AD121" s="16" t="s">
        <v>140</v>
      </c>
      <c r="AE121" s="16" t="s">
        <v>140</v>
      </c>
      <c r="AF121" s="16" t="s">
        <v>182</v>
      </c>
      <c r="AG121" s="16" t="s">
        <v>140</v>
      </c>
      <c r="AH121" s="16" t="s">
        <v>140</v>
      </c>
      <c r="AI121" s="16" t="s">
        <v>140</v>
      </c>
      <c r="AJ121" s="16" t="s">
        <v>140</v>
      </c>
      <c r="AK121" s="16" t="s">
        <v>140</v>
      </c>
      <c r="AL121" s="9"/>
    </row>
    <row r="122" spans="1:38" s="8" customFormat="1" ht="12.75">
      <c r="A122" s="16"/>
      <c r="B122" s="16"/>
      <c r="C122" s="16"/>
      <c r="D122" s="16"/>
      <c r="E122" s="16"/>
      <c r="F122" s="16"/>
      <c r="M122" s="23" t="s">
        <v>104</v>
      </c>
      <c r="N122" s="23" t="s">
        <v>139</v>
      </c>
      <c r="O122" s="23" t="s">
        <v>106</v>
      </c>
      <c r="P122" s="23" t="s">
        <v>107</v>
      </c>
      <c r="Q122" s="8" t="s">
        <v>114</v>
      </c>
      <c r="R122" s="8" t="s">
        <v>104</v>
      </c>
      <c r="S122" s="8" t="s">
        <v>118</v>
      </c>
      <c r="T122" s="8" t="s">
        <v>121</v>
      </c>
      <c r="U122" s="8" t="s">
        <v>125</v>
      </c>
      <c r="V122" s="8" t="s">
        <v>126</v>
      </c>
      <c r="W122" s="8" t="s">
        <v>104</v>
      </c>
      <c r="X122" s="8" t="s">
        <v>139</v>
      </c>
      <c r="Y122" s="8" t="s">
        <v>67</v>
      </c>
      <c r="Z122" s="8" t="s">
        <v>68</v>
      </c>
      <c r="AA122" s="8" t="s">
        <v>69</v>
      </c>
      <c r="AB122" s="8" t="s">
        <v>74</v>
      </c>
      <c r="AC122" s="8" t="s">
        <v>73</v>
      </c>
      <c r="AD122" s="8" t="s">
        <v>70</v>
      </c>
      <c r="AE122" s="24" t="s">
        <v>75</v>
      </c>
      <c r="AF122" s="8" t="s">
        <v>71</v>
      </c>
      <c r="AG122" s="8" t="s">
        <v>72</v>
      </c>
      <c r="AH122" s="25" t="s">
        <v>76</v>
      </c>
      <c r="AI122" s="25" t="s">
        <v>77</v>
      </c>
      <c r="AJ122" s="24" t="s">
        <v>78</v>
      </c>
      <c r="AK122" s="24" t="s">
        <v>79</v>
      </c>
      <c r="AL122" s="9"/>
    </row>
    <row r="123" spans="1:38" s="8" customFormat="1" ht="12.75">
      <c r="A123" s="16" t="s">
        <v>182</v>
      </c>
      <c r="B123" s="26">
        <v>22</v>
      </c>
      <c r="C123" s="27">
        <v>1.9</v>
      </c>
      <c r="D123" s="18" t="s">
        <v>165</v>
      </c>
      <c r="E123" s="11">
        <f>TRUNC(W126)</f>
        <v>234</v>
      </c>
      <c r="F123" s="12">
        <f>ABS(W126-E123)*60</f>
        <v>18.190434363249324</v>
      </c>
      <c r="M123" s="23">
        <v>8</v>
      </c>
      <c r="N123" s="23">
        <v>-59</v>
      </c>
      <c r="O123" s="23">
        <v>-0.02534</v>
      </c>
      <c r="P123" s="23">
        <v>0.02272</v>
      </c>
      <c r="Q123" s="8">
        <f>COS(P126)*SIN(O126+$B$381)</f>
        <v>0.4120543649551637</v>
      </c>
      <c r="R123" s="8">
        <f>DEGREES(ATAN2(Q124,Q123))+$C$381</f>
        <v>125.68478164475424</v>
      </c>
      <c r="S123" s="8">
        <f>RADIANS(R124)</f>
        <v>2.1936132593510957</v>
      </c>
      <c r="T123" s="8">
        <f>(COS($D$373)+SIN($D$373)*SIN(S123)*TAN(S126))*$A$370-COS(S123)*TAN(S126)*$A$373</f>
        <v>3.125940524621468E-05</v>
      </c>
      <c r="U123" s="8">
        <f>COS(S123)*COS($D$394)*COS($D$373)+SIN(S123)*SIN($D$394)</f>
        <v>0.9125596529596123</v>
      </c>
      <c r="V123" s="8">
        <f>COS($D$394)*COS($D$373)*(TAN($D$373)*COS(S126)-SIN(S123)*SIN(S126))+COS(S123)*SIN(S126)*SIN($D$394)</f>
        <v>0.29802850170873874</v>
      </c>
      <c r="W123" s="8">
        <f>DEGREES(U126+T123+S123)</f>
        <v>125.69682609394586</v>
      </c>
      <c r="X123" s="8">
        <f>DEGREES(V126+T126+S126)</f>
        <v>-59.544298093331236</v>
      </c>
      <c r="Y123" s="28">
        <f>V126+T126+S126</f>
        <v>-1.0392440525176119</v>
      </c>
      <c r="Z123" s="8">
        <f>RADIANS(A125)</f>
        <v>2.7069945834960674</v>
      </c>
      <c r="AA123" s="8">
        <f>Z123+$K$2</f>
        <v>0.6125994811028721</v>
      </c>
      <c r="AB123" s="8">
        <f>DEGREES(AA123)</f>
        <v>35.0993647990988</v>
      </c>
      <c r="AC123" s="8">
        <f>AB123-INT(AB123/360)*360</f>
        <v>35.0993647990988</v>
      </c>
      <c r="AD123" s="28">
        <f>SIN(Y123)*SIN($J$2)+COS(Y123)*COS($J$2)*COS(AA123)</f>
        <v>0.7901517783307594</v>
      </c>
      <c r="AE123" s="28">
        <f>ASIN(AD123)</f>
        <v>0.9110565929923171</v>
      </c>
      <c r="AF123" s="28">
        <f>(SIN(Y123)-SIN($J$2)*AD123)/(COS($J$2)*COS(AE123))</f>
        <v>-0.8797067222934974</v>
      </c>
      <c r="AG123" s="8">
        <f>DEGREES(ACOS(AF123))</f>
        <v>151.60700572730448</v>
      </c>
      <c r="AH123" s="8">
        <f>IF(AC123&gt;180,AG123,360-AG123)</f>
        <v>208.39299427269552</v>
      </c>
      <c r="AI123" s="8">
        <f>DEGREES(AE123)</f>
        <v>52.19969767602778</v>
      </c>
      <c r="AJ123" s="28">
        <f>$C$5-AI123</f>
        <v>14.656968990638887</v>
      </c>
      <c r="AK123" s="29">
        <f>$D$5-AH123</f>
        <v>19.507005727304488</v>
      </c>
      <c r="AL123" s="9">
        <f>AJ123*AJ123+AK123*AK123</f>
        <v>595.3500124376401</v>
      </c>
    </row>
    <row r="124" spans="1:38" s="8" customFormat="1" ht="12.75">
      <c r="A124" s="16" t="s">
        <v>137</v>
      </c>
      <c r="B124" s="16" t="s">
        <v>138</v>
      </c>
      <c r="C124" s="16" t="s">
        <v>135</v>
      </c>
      <c r="D124" s="16" t="s">
        <v>139</v>
      </c>
      <c r="E124" s="16" t="s">
        <v>138</v>
      </c>
      <c r="F124" s="16" t="s">
        <v>135</v>
      </c>
      <c r="M124" s="23">
        <v>22</v>
      </c>
      <c r="N124" s="23">
        <v>-30</v>
      </c>
      <c r="O124" s="8" t="s">
        <v>110</v>
      </c>
      <c r="P124" s="8" t="s">
        <v>111</v>
      </c>
      <c r="Q124" s="8">
        <f>COS($F$381)*COS(P126)*COS(O126+$B$381)-SIN($F$381)*SIN(P126)</f>
        <v>-0.29515759494285204</v>
      </c>
      <c r="R124" s="8">
        <f>R123-360*INT(R123/360)</f>
        <v>125.68478164475424</v>
      </c>
      <c r="U124" s="8">
        <f>COS(S123)*COS($D$389)*COS($D$373)+SIN(S123)*SIN($D$389)</f>
        <v>-0.8976077998106957</v>
      </c>
      <c r="V124" s="8">
        <f>COS($D$389)*COS($D$373)*(TAN($D$373)*COS(S126)-SIN(S123)*SIN(S126))+COS(S123)*SIN(S126)*SIN($D$389)</f>
        <v>-0.3370914440077962</v>
      </c>
      <c r="AL124" s="9"/>
    </row>
    <row r="125" spans="1:38" s="8" customFormat="1" ht="12.75">
      <c r="A125" s="10">
        <f>($C$376+E123+F123/60)-INT(($C$376+E123+F123/60)/360)*360</f>
        <v>155.0993647990988</v>
      </c>
      <c r="B125" s="11">
        <f>TRUNC(A125)</f>
        <v>155</v>
      </c>
      <c r="C125" s="12">
        <f>(A125-B125)*60</f>
        <v>5.961887945927629</v>
      </c>
      <c r="D125" s="32" t="str">
        <f>IF(X123&gt;=0,"N","S")</f>
        <v>S</v>
      </c>
      <c r="E125" s="11">
        <f>ABS(TRUNC(X123))</f>
        <v>59</v>
      </c>
      <c r="F125" s="12">
        <f>ABS(X123-TRUNC(X123))*60</f>
        <v>32.657885599874135</v>
      </c>
      <c r="M125" s="30">
        <v>30.836</v>
      </c>
      <c r="N125" s="30">
        <v>-34.14</v>
      </c>
      <c r="O125" s="31">
        <f>M126+O123/3600*$A$367</f>
        <v>125.62840590072274</v>
      </c>
      <c r="P125" s="31">
        <f>N126+P123/3600*$A$367</f>
        <v>-59.509413906777965</v>
      </c>
      <c r="Q125" s="31">
        <f>SIN($F$381)*COS(P126)*COS(O126+$B$381)+COS($F$381)*SIN(P126)</f>
        <v>-0.8620285346025084</v>
      </c>
      <c r="R125" s="31" t="s">
        <v>139</v>
      </c>
      <c r="S125" s="20" t="s">
        <v>119</v>
      </c>
      <c r="T125" s="20" t="s">
        <v>122</v>
      </c>
      <c r="U125" s="20" t="s">
        <v>121</v>
      </c>
      <c r="V125" s="20" t="s">
        <v>122</v>
      </c>
      <c r="W125" s="20" t="s">
        <v>130</v>
      </c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9"/>
    </row>
    <row r="126" spans="1:38" s="8" customFormat="1" ht="12.75">
      <c r="A126" s="16"/>
      <c r="B126" s="16"/>
      <c r="C126" s="16"/>
      <c r="D126" s="16"/>
      <c r="E126" s="16"/>
      <c r="F126" s="16"/>
      <c r="M126" s="24">
        <f>(M123+M124/60+M125/3600)*15</f>
        <v>125.62848333333335</v>
      </c>
      <c r="N126" s="24">
        <f>N123+N124/60+N125/3600</f>
        <v>-59.509483333333336</v>
      </c>
      <c r="O126" s="8">
        <f>RADIANS(O125)</f>
        <v>2.192629316999484</v>
      </c>
      <c r="P126" s="8">
        <f>RADIANS(P125)</f>
        <v>-1.0386352086053774</v>
      </c>
      <c r="R126" s="8">
        <f>DEGREES(ASIN(Q125))</f>
        <v>-59.54511532979104</v>
      </c>
      <c r="S126" s="8">
        <f>RADIANS(R126)</f>
        <v>-1.0392583159846027</v>
      </c>
      <c r="T126" s="8">
        <f>SIN($D$373)*COS(S123)*$A$370+SIN(S123)*$A$373</f>
        <v>-1.9726319259205092E-05</v>
      </c>
      <c r="U126" s="22">
        <f>($A$394*U123-U124)*$V$18/COS(S126)</f>
        <v>0.0001789558897364594</v>
      </c>
      <c r="V126" s="22">
        <f>($A$394*V123-V124)*$V$18</f>
        <v>3.398978625016368E-05</v>
      </c>
      <c r="W126" s="8">
        <f>360-W123</f>
        <v>234.30317390605416</v>
      </c>
      <c r="AL126" s="9"/>
    </row>
    <row r="127" spans="1:38" s="8" customFormat="1" ht="12.75">
      <c r="A127" s="16" t="s">
        <v>140</v>
      </c>
      <c r="B127" s="16" t="s">
        <v>140</v>
      </c>
      <c r="C127" s="16" t="s">
        <v>140</v>
      </c>
      <c r="D127" s="16" t="s">
        <v>140</v>
      </c>
      <c r="E127" s="16" t="s">
        <v>140</v>
      </c>
      <c r="F127" s="16" t="s">
        <v>140</v>
      </c>
      <c r="M127" s="16" t="s">
        <v>140</v>
      </c>
      <c r="N127" s="16" t="s">
        <v>183</v>
      </c>
      <c r="O127" s="16" t="s">
        <v>140</v>
      </c>
      <c r="P127" s="16" t="s">
        <v>140</v>
      </c>
      <c r="Q127" s="16" t="s">
        <v>140</v>
      </c>
      <c r="R127" s="16" t="s">
        <v>140</v>
      </c>
      <c r="S127" s="16" t="s">
        <v>140</v>
      </c>
      <c r="T127" s="16" t="s">
        <v>183</v>
      </c>
      <c r="U127" s="16" t="s">
        <v>140</v>
      </c>
      <c r="V127" s="16" t="s">
        <v>140</v>
      </c>
      <c r="W127" s="16" t="s">
        <v>140</v>
      </c>
      <c r="X127" s="16" t="s">
        <v>140</v>
      </c>
      <c r="Y127" s="16" t="s">
        <v>140</v>
      </c>
      <c r="Z127" s="16" t="s">
        <v>183</v>
      </c>
      <c r="AA127" s="16" t="s">
        <v>140</v>
      </c>
      <c r="AB127" s="16" t="s">
        <v>140</v>
      </c>
      <c r="AC127" s="16" t="s">
        <v>140</v>
      </c>
      <c r="AD127" s="16" t="s">
        <v>140</v>
      </c>
      <c r="AE127" s="16" t="s">
        <v>140</v>
      </c>
      <c r="AF127" s="16" t="s">
        <v>183</v>
      </c>
      <c r="AG127" s="16" t="s">
        <v>140</v>
      </c>
      <c r="AH127" s="16" t="s">
        <v>140</v>
      </c>
      <c r="AI127" s="16" t="s">
        <v>140</v>
      </c>
      <c r="AJ127" s="16" t="s">
        <v>140</v>
      </c>
      <c r="AK127" s="16" t="s">
        <v>140</v>
      </c>
      <c r="AL127" s="9"/>
    </row>
    <row r="128" spans="1:38" s="8" customFormat="1" ht="12.75">
      <c r="A128" s="16"/>
      <c r="B128" s="16"/>
      <c r="C128" s="16"/>
      <c r="D128" s="16"/>
      <c r="E128" s="16"/>
      <c r="F128" s="16"/>
      <c r="M128" s="23" t="s">
        <v>104</v>
      </c>
      <c r="N128" s="23" t="s">
        <v>139</v>
      </c>
      <c r="O128" s="23" t="s">
        <v>106</v>
      </c>
      <c r="P128" s="23" t="s">
        <v>107</v>
      </c>
      <c r="Q128" s="8" t="s">
        <v>114</v>
      </c>
      <c r="R128" s="8" t="s">
        <v>104</v>
      </c>
      <c r="S128" s="8" t="s">
        <v>118</v>
      </c>
      <c r="T128" s="8" t="s">
        <v>121</v>
      </c>
      <c r="U128" s="8" t="s">
        <v>125</v>
      </c>
      <c r="V128" s="8" t="s">
        <v>126</v>
      </c>
      <c r="W128" s="8" t="s">
        <v>104</v>
      </c>
      <c r="X128" s="8" t="s">
        <v>139</v>
      </c>
      <c r="Y128" s="8" t="s">
        <v>67</v>
      </c>
      <c r="Z128" s="8" t="s">
        <v>68</v>
      </c>
      <c r="AA128" s="8" t="s">
        <v>69</v>
      </c>
      <c r="AB128" s="8" t="s">
        <v>74</v>
      </c>
      <c r="AC128" s="8" t="s">
        <v>73</v>
      </c>
      <c r="AD128" s="8" t="s">
        <v>70</v>
      </c>
      <c r="AE128" s="24" t="s">
        <v>75</v>
      </c>
      <c r="AF128" s="8" t="s">
        <v>71</v>
      </c>
      <c r="AG128" s="8" t="s">
        <v>72</v>
      </c>
      <c r="AH128" s="25" t="s">
        <v>76</v>
      </c>
      <c r="AI128" s="25" t="s">
        <v>77</v>
      </c>
      <c r="AJ128" s="24" t="s">
        <v>78</v>
      </c>
      <c r="AK128" s="24" t="s">
        <v>79</v>
      </c>
      <c r="AL128" s="9"/>
    </row>
    <row r="129" spans="1:38" s="8" customFormat="1" ht="12.75">
      <c r="A129" s="16" t="s">
        <v>183</v>
      </c>
      <c r="B129" s="26">
        <v>13</v>
      </c>
      <c r="C129" s="27">
        <v>1.6</v>
      </c>
      <c r="D129" s="18" t="s">
        <v>165</v>
      </c>
      <c r="E129" s="11">
        <f>TRUNC(W132)</f>
        <v>278</v>
      </c>
      <c r="F129" s="12">
        <f>ABS(W132-E129)*60</f>
        <v>33.564027309525954</v>
      </c>
      <c r="M129" s="23">
        <v>5</v>
      </c>
      <c r="N129" s="23">
        <v>6</v>
      </c>
      <c r="O129" s="23">
        <v>-0.00875</v>
      </c>
      <c r="P129" s="23">
        <v>-0.01328</v>
      </c>
      <c r="Q129" s="8">
        <f>COS(P132)*SIN(O132+$B$381)</f>
        <v>0.9825691254641453</v>
      </c>
      <c r="R129" s="8">
        <f>DEGREES(ATAN2(Q130,Q129))+$C$381</f>
        <v>81.43042761069404</v>
      </c>
      <c r="S129" s="8">
        <f>RADIANS(R130)</f>
        <v>1.4212290731135102</v>
      </c>
      <c r="T129" s="8">
        <f>(COS($D$373)+SIN($D$373)*SIN(S129)*TAN(S132))*$A$370-COS(S129)*TAN(S132)*$A$373</f>
        <v>8.138065509118111E-05</v>
      </c>
      <c r="U129" s="8">
        <f>COS(S129)*COS($D$394)*COS($D$373)+SIN(S129)*SIN($D$394)</f>
        <v>0.931949975223363</v>
      </c>
      <c r="V129" s="8">
        <f>COS($D$394)*COS($D$373)*(TAN($D$373)*COS(S132)-SIN(S129)*SIN(S132))+COS(S129)*SIN(S132)*SIN($D$394)</f>
        <v>-0.050882680997418425</v>
      </c>
      <c r="W129" s="8">
        <f>DEGREES(U132+T129+S129)</f>
        <v>81.4405995448412</v>
      </c>
      <c r="X129" s="8">
        <f>DEGREES(V132+T132+S132)</f>
        <v>6.358923240453551</v>
      </c>
      <c r="Y129" s="28">
        <f>V132+T132+S132</f>
        <v>0.11098414742750154</v>
      </c>
      <c r="Z129" s="8">
        <f>RADIANS(A131)</f>
        <v>3.479411451286472</v>
      </c>
      <c r="AA129" s="8">
        <f>Z129+$K$2</f>
        <v>1.3850163488932767</v>
      </c>
      <c r="AB129" s="8">
        <f>DEGREES(AA129)</f>
        <v>79.35559134820349</v>
      </c>
      <c r="AC129" s="8">
        <f>AB129-INT(AB129/360)*360</f>
        <v>79.35559134820349</v>
      </c>
      <c r="AD129" s="28">
        <f>SIN(Y129)*SIN($J$2)+COS(Y129)*COS($J$2)*COS(AA129)</f>
        <v>0.1036038735205681</v>
      </c>
      <c r="AE129" s="28">
        <f>ASIN(AD129)</f>
        <v>0.1037901177567467</v>
      </c>
      <c r="AF129" s="28">
        <f>(SIN(Y129)-SIN($J$2)*AD129)/(COS($J$2)*COS(AE129))</f>
        <v>0.18872183335796136</v>
      </c>
      <c r="AG129" s="8">
        <f>DEGREES(ACOS(AF129))</f>
        <v>79.1217987489681</v>
      </c>
      <c r="AH129" s="8">
        <f>IF(AC129&gt;180,AG129,360-AG129)</f>
        <v>280.8782012510319</v>
      </c>
      <c r="AI129" s="8">
        <f>DEGREES(AE129)</f>
        <v>5.946735702627409</v>
      </c>
      <c r="AJ129" s="28">
        <f>$C$5-AI129</f>
        <v>60.90993096403926</v>
      </c>
      <c r="AK129" s="29">
        <f>$D$5-AH129</f>
        <v>-52.97820125103189</v>
      </c>
      <c r="AL129" s="9">
        <f>AJ129*AJ129+AK129*AK129</f>
        <v>6516.709497838866</v>
      </c>
    </row>
    <row r="130" spans="1:38" s="8" customFormat="1" ht="12.75">
      <c r="A130" s="16" t="s">
        <v>137</v>
      </c>
      <c r="B130" s="16" t="s">
        <v>138</v>
      </c>
      <c r="C130" s="16" t="s">
        <v>135</v>
      </c>
      <c r="D130" s="16" t="s">
        <v>139</v>
      </c>
      <c r="E130" s="16" t="s">
        <v>138</v>
      </c>
      <c r="F130" s="16" t="s">
        <v>135</v>
      </c>
      <c r="M130" s="23">
        <v>25</v>
      </c>
      <c r="N130" s="23">
        <v>20</v>
      </c>
      <c r="O130" s="8" t="s">
        <v>110</v>
      </c>
      <c r="P130" s="8" t="s">
        <v>111</v>
      </c>
      <c r="Q130" s="8">
        <f>COS($F$381)*COS(P132)*COS(O132+$B$381)-SIN($F$381)*SIN(P132)</f>
        <v>0.1493021819285992</v>
      </c>
      <c r="R130" s="8">
        <f>R129-360*INT(R129/360)</f>
        <v>81.43042761069404</v>
      </c>
      <c r="U130" s="8">
        <f>COS(S129)*COS($D$389)*COS($D$373)+SIN(S129)*SIN($D$389)</f>
        <v>-0.9461540466415432</v>
      </c>
      <c r="V130" s="8">
        <f>COS($D$389)*COS($D$373)*(TAN($D$373)*COS(S132)-SIN(S129)*SIN(S132))+COS(S129)*SIN(S132)*SIN($D$389)</f>
        <v>0.03861890155165601</v>
      </c>
      <c r="AL130" s="9"/>
    </row>
    <row r="131" spans="1:38" s="8" customFormat="1" ht="12.75">
      <c r="A131" s="10">
        <f>($C$376+E129+F129/60)-INT(($C$376+E129+F129/60)/360)*360</f>
        <v>199.35559134820346</v>
      </c>
      <c r="B131" s="11">
        <f>TRUNC(A131)</f>
        <v>199</v>
      </c>
      <c r="C131" s="12">
        <f>(A131-B131)*60</f>
        <v>21.33548089220767</v>
      </c>
      <c r="D131" s="32" t="str">
        <f>IF(X129&gt;=0,"N","S")</f>
        <v>N</v>
      </c>
      <c r="E131" s="11">
        <f>ABS(TRUNC(X129))</f>
        <v>6</v>
      </c>
      <c r="F131" s="12">
        <f>ABS(X129-TRUNC(X129))*60</f>
        <v>21.53539442721307</v>
      </c>
      <c r="M131" s="30">
        <v>7.863</v>
      </c>
      <c r="N131" s="30">
        <v>58.93</v>
      </c>
      <c r="O131" s="31">
        <f>M132+O129/3600*$A$367</f>
        <v>81.2827357622201</v>
      </c>
      <c r="P131" s="31">
        <f>N132+P129/3600*$A$367</f>
        <v>6.349662197467243</v>
      </c>
      <c r="Q131" s="31">
        <f>SIN($F$381)*COS(P132)*COS(O132+$B$381)+COS($F$381)*SIN(P132)</f>
        <v>0.11075546106618925</v>
      </c>
      <c r="R131" s="31" t="s">
        <v>139</v>
      </c>
      <c r="S131" s="20" t="s">
        <v>119</v>
      </c>
      <c r="T131" s="20" t="s">
        <v>122</v>
      </c>
      <c r="U131" s="20" t="s">
        <v>121</v>
      </c>
      <c r="V131" s="20" t="s">
        <v>122</v>
      </c>
      <c r="W131" s="20" t="s">
        <v>130</v>
      </c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9"/>
    </row>
    <row r="132" spans="1:38" s="8" customFormat="1" ht="12.75">
      <c r="A132" s="16"/>
      <c r="B132" s="16"/>
      <c r="C132" s="16"/>
      <c r="D132" s="16"/>
      <c r="E132" s="16"/>
      <c r="F132" s="16"/>
      <c r="M132" s="24">
        <f>(M129+M130/60+M131/3600)*15</f>
        <v>81.2827625</v>
      </c>
      <c r="N132" s="24">
        <f>N129+N130/60+N131/3600</f>
        <v>6.349702777777778</v>
      </c>
      <c r="O132" s="8">
        <f>RADIANS(O131)</f>
        <v>1.4186513640792835</v>
      </c>
      <c r="P132" s="8">
        <f>RADIANS(P131)</f>
        <v>0.11082251173522174</v>
      </c>
      <c r="R132" s="8">
        <f>DEGREES(ASIN(Q131))</f>
        <v>6.358866409358192</v>
      </c>
      <c r="S132" s="8">
        <f>RADIANS(R132)</f>
        <v>0.11098315553777001</v>
      </c>
      <c r="T132" s="8">
        <f>SIN($D$373)*COS(S129)*$A$370+SIN(S129)*$A$373</f>
        <v>4.913714994758857E-06</v>
      </c>
      <c r="U132" s="22">
        <f>($A$394*U129-U130)*$V$18/COS(S132)</f>
        <v>9.615308707296051E-05</v>
      </c>
      <c r="V132" s="22">
        <f>($A$394*V129-V130)*$V$18</f>
        <v>-3.921825263225511E-06</v>
      </c>
      <c r="W132" s="8">
        <f>360-W129</f>
        <v>278.55940045515877</v>
      </c>
      <c r="AL132" s="9"/>
    </row>
    <row r="133" spans="1:38" s="8" customFormat="1" ht="12.75">
      <c r="A133" s="16" t="s">
        <v>140</v>
      </c>
      <c r="B133" s="16" t="s">
        <v>140</v>
      </c>
      <c r="C133" s="16" t="s">
        <v>140</v>
      </c>
      <c r="D133" s="16" t="s">
        <v>140</v>
      </c>
      <c r="E133" s="16" t="s">
        <v>140</v>
      </c>
      <c r="F133" s="16" t="s">
        <v>140</v>
      </c>
      <c r="M133" s="16" t="s">
        <v>140</v>
      </c>
      <c r="N133" s="16" t="s">
        <v>184</v>
      </c>
      <c r="O133" s="16" t="s">
        <v>140</v>
      </c>
      <c r="P133" s="16" t="s">
        <v>140</v>
      </c>
      <c r="Q133" s="16" t="s">
        <v>140</v>
      </c>
      <c r="R133" s="16" t="s">
        <v>140</v>
      </c>
      <c r="S133" s="16" t="s">
        <v>140</v>
      </c>
      <c r="T133" s="16" t="s">
        <v>184</v>
      </c>
      <c r="U133" s="16" t="s">
        <v>140</v>
      </c>
      <c r="V133" s="16" t="s">
        <v>140</v>
      </c>
      <c r="W133" s="16" t="s">
        <v>140</v>
      </c>
      <c r="X133" s="16" t="s">
        <v>140</v>
      </c>
      <c r="Y133" s="16" t="s">
        <v>140</v>
      </c>
      <c r="Z133" s="16" t="s">
        <v>184</v>
      </c>
      <c r="AA133" s="16" t="s">
        <v>140</v>
      </c>
      <c r="AB133" s="16" t="s">
        <v>140</v>
      </c>
      <c r="AC133" s="16" t="s">
        <v>140</v>
      </c>
      <c r="AD133" s="16" t="s">
        <v>140</v>
      </c>
      <c r="AE133" s="16" t="s">
        <v>140</v>
      </c>
      <c r="AF133" s="16" t="s">
        <v>184</v>
      </c>
      <c r="AG133" s="16" t="s">
        <v>140</v>
      </c>
      <c r="AH133" s="16" t="s">
        <v>140</v>
      </c>
      <c r="AI133" s="16" t="s">
        <v>140</v>
      </c>
      <c r="AJ133" s="16" t="s">
        <v>140</v>
      </c>
      <c r="AK133" s="16" t="s">
        <v>140</v>
      </c>
      <c r="AL133" s="9"/>
    </row>
    <row r="134" spans="1:38" s="8" customFormat="1" ht="12.75">
      <c r="A134" s="16"/>
      <c r="B134" s="16"/>
      <c r="C134" s="16"/>
      <c r="D134" s="16"/>
      <c r="E134" s="16"/>
      <c r="F134" s="16"/>
      <c r="M134" s="23" t="s">
        <v>104</v>
      </c>
      <c r="N134" s="23" t="s">
        <v>139</v>
      </c>
      <c r="O134" s="23" t="s">
        <v>106</v>
      </c>
      <c r="P134" s="23" t="s">
        <v>107</v>
      </c>
      <c r="Q134" s="8" t="s">
        <v>114</v>
      </c>
      <c r="R134" s="8" t="s">
        <v>104</v>
      </c>
      <c r="S134" s="8" t="s">
        <v>118</v>
      </c>
      <c r="T134" s="8" t="s">
        <v>121</v>
      </c>
      <c r="U134" s="8" t="s">
        <v>125</v>
      </c>
      <c r="V134" s="8" t="s">
        <v>126</v>
      </c>
      <c r="W134" s="8" t="s">
        <v>104</v>
      </c>
      <c r="X134" s="8" t="s">
        <v>139</v>
      </c>
      <c r="Y134" s="8" t="s">
        <v>67</v>
      </c>
      <c r="Z134" s="8" t="s">
        <v>68</v>
      </c>
      <c r="AA134" s="8" t="s">
        <v>69</v>
      </c>
      <c r="AB134" s="8" t="s">
        <v>74</v>
      </c>
      <c r="AC134" s="8" t="s">
        <v>73</v>
      </c>
      <c r="AD134" s="8" t="s">
        <v>70</v>
      </c>
      <c r="AE134" s="24" t="s">
        <v>75</v>
      </c>
      <c r="AF134" s="8" t="s">
        <v>71</v>
      </c>
      <c r="AG134" s="8" t="s">
        <v>72</v>
      </c>
      <c r="AH134" s="25" t="s">
        <v>76</v>
      </c>
      <c r="AI134" s="25" t="s">
        <v>77</v>
      </c>
      <c r="AJ134" s="24" t="s">
        <v>78</v>
      </c>
      <c r="AK134" s="24" t="s">
        <v>79</v>
      </c>
      <c r="AL134" s="9"/>
    </row>
    <row r="135" spans="1:38" s="8" customFormat="1" ht="12.75">
      <c r="A135" s="16" t="s">
        <v>184</v>
      </c>
      <c r="B135" s="26">
        <v>16</v>
      </c>
      <c r="C135" s="33" t="s">
        <v>22</v>
      </c>
      <c r="D135" s="18" t="s">
        <v>165</v>
      </c>
      <c r="E135" s="11">
        <f>TRUNC(W138)</f>
        <v>271</v>
      </c>
      <c r="F135" s="12">
        <f>ABS(W138-E135)*60</f>
        <v>2.8591770905200065</v>
      </c>
      <c r="M135" s="23">
        <v>5</v>
      </c>
      <c r="N135" s="23">
        <v>7</v>
      </c>
      <c r="O135" s="23">
        <v>0.02733</v>
      </c>
      <c r="P135" s="23">
        <v>0.01086</v>
      </c>
      <c r="Q135" s="8">
        <f>COS(P138)*SIN(O138+$B$381)</f>
        <v>0.9914601204234075</v>
      </c>
      <c r="R135" s="8">
        <f>DEGREES(ATAN2(Q136,Q135))+$C$381</f>
        <v>88.94193124988786</v>
      </c>
      <c r="S135" s="8">
        <f>RADIANS(R136)</f>
        <v>1.5523295433929787</v>
      </c>
      <c r="T135" s="8">
        <f>(COS($D$373)+SIN($D$373)*SIN(S135)*TAN(S138))*$A$370-COS(S135)*TAN(S138)*$A$373</f>
        <v>8.204604540655577E-05</v>
      </c>
      <c r="U135" s="8">
        <f>COS(S135)*COS($D$394)*COS($D$373)+SIN(S135)*SIN($D$394)</f>
        <v>0.9698573539835665</v>
      </c>
      <c r="V135" s="8">
        <f>COS($D$394)*COS($D$373)*(TAN($D$373)*COS(S138)-SIN(S135)*SIN(S138))+COS(S135)*SIN(S138)*SIN($D$394)</f>
        <v>-0.06039616779836072</v>
      </c>
      <c r="W135" s="8">
        <f>DEGREES(U138+T135+S135)</f>
        <v>88.95234704849132</v>
      </c>
      <c r="X135" s="8">
        <f>DEGREES(V138+T138+S138)</f>
        <v>7.408052368614964</v>
      </c>
      <c r="Y135" s="28">
        <f>V138+T138+S138</f>
        <v>0.12929490499249577</v>
      </c>
      <c r="Z135" s="8">
        <f>RADIANS(A137)</f>
        <v>3.348306724769313</v>
      </c>
      <c r="AA135" s="8">
        <f>Z135+$K$2</f>
        <v>1.2539116223761178</v>
      </c>
      <c r="AB135" s="8">
        <f>DEGREES(AA135)</f>
        <v>71.84384384455339</v>
      </c>
      <c r="AC135" s="8">
        <f>AB135-INT(AB135/360)*360</f>
        <v>71.84384384455339</v>
      </c>
      <c r="AD135" s="28">
        <f>SIN(Y135)*SIN($J$2)+COS(Y135)*COS($J$2)*COS(AA135)</f>
        <v>0.20314035584542006</v>
      </c>
      <c r="AE135" s="28">
        <f>ASIN(AD135)</f>
        <v>0.20456408769345968</v>
      </c>
      <c r="AF135" s="28">
        <f>(SIN(Y135)-SIN($J$2)*AD135)/(COS($J$2)*COS(AE135))</f>
        <v>0.2718322153209291</v>
      </c>
      <c r="AG135" s="8">
        <f>DEGREES(ACOS(AF135))</f>
        <v>74.22667652944259</v>
      </c>
      <c r="AH135" s="8">
        <f>IF(AC135&gt;180,AG135,360-AG135)</f>
        <v>285.77332347055744</v>
      </c>
      <c r="AI135" s="8">
        <f>DEGREES(AE135)</f>
        <v>11.720658864779303</v>
      </c>
      <c r="AJ135" s="28">
        <f>$C$5-AI135</f>
        <v>55.13600780188737</v>
      </c>
      <c r="AK135" s="29">
        <f>$D$5-AH135</f>
        <v>-57.87332347055744</v>
      </c>
      <c r="AL135" s="9">
        <f>AJ135*AJ135+AK135*AK135</f>
        <v>6389.3009258575585</v>
      </c>
    </row>
    <row r="136" spans="1:38" s="8" customFormat="1" ht="12.75">
      <c r="A136" s="16" t="s">
        <v>137</v>
      </c>
      <c r="B136" s="16" t="s">
        <v>138</v>
      </c>
      <c r="C136" s="16" t="s">
        <v>135</v>
      </c>
      <c r="D136" s="16" t="s">
        <v>139</v>
      </c>
      <c r="E136" s="16" t="s">
        <v>138</v>
      </c>
      <c r="F136" s="16" t="s">
        <v>135</v>
      </c>
      <c r="M136" s="23">
        <v>55</v>
      </c>
      <c r="N136" s="23">
        <v>24</v>
      </c>
      <c r="O136" s="8" t="s">
        <v>110</v>
      </c>
      <c r="P136" s="8" t="s">
        <v>111</v>
      </c>
      <c r="Q136" s="8">
        <f>COS($F$381)*COS(P138)*COS(O138+$B$381)-SIN($F$381)*SIN(P138)</f>
        <v>0.019531136604320955</v>
      </c>
      <c r="R136" s="8">
        <f>R135-360*INT(R135/360)</f>
        <v>88.94193124988786</v>
      </c>
      <c r="U136" s="8">
        <f>COS(S135)*COS($D$389)*COS($D$373)+SIN(S135)*SIN($D$389)</f>
        <v>-0.9792328477099205</v>
      </c>
      <c r="V136" s="8">
        <f>COS($D$389)*COS($D$373)*(TAN($D$373)*COS(S138)-SIN(S135)*SIN(S138))+COS(S135)*SIN(S138)*SIN($D$389)</f>
        <v>0.04902256680472516</v>
      </c>
      <c r="AL136" s="9"/>
    </row>
    <row r="137" spans="1:38" s="8" customFormat="1" ht="12.75">
      <c r="A137" s="10">
        <f>($C$376+E135+F135/60)-INT(($C$376+E135+F135/60)/360)*360</f>
        <v>191.84384384455336</v>
      </c>
      <c r="B137" s="11">
        <f>TRUNC(A137)</f>
        <v>191</v>
      </c>
      <c r="C137" s="12">
        <f>(A137-B137)*60</f>
        <v>50.63063067320172</v>
      </c>
      <c r="D137" s="32" t="str">
        <f>IF(X135&gt;=0,"N","S")</f>
        <v>N</v>
      </c>
      <c r="E137" s="11">
        <f>ABS(TRUNC(X135))</f>
        <v>7</v>
      </c>
      <c r="F137" s="12">
        <f>ABS(X135-TRUNC(X135))*60</f>
        <v>24.483142116897838</v>
      </c>
      <c r="M137" s="30">
        <v>10.305</v>
      </c>
      <c r="N137" s="30">
        <v>25.43</v>
      </c>
      <c r="O137" s="31">
        <f>M138+O135/3600*$A$367</f>
        <v>88.79302101354571</v>
      </c>
      <c r="P137" s="31">
        <f>N138+P135/3600*$A$367</f>
        <v>7.407097074293438</v>
      </c>
      <c r="Q137" s="31">
        <f>SIN($F$381)*COS(P138)*COS(O138+$B$381)+COS($F$381)*SIN(P138)</f>
        <v>0.12893938231954427</v>
      </c>
      <c r="R137" s="31" t="s">
        <v>139</v>
      </c>
      <c r="S137" s="20" t="s">
        <v>119</v>
      </c>
      <c r="T137" s="20" t="s">
        <v>122</v>
      </c>
      <c r="U137" s="20" t="s">
        <v>121</v>
      </c>
      <c r="V137" s="20" t="s">
        <v>122</v>
      </c>
      <c r="W137" s="20" t="s">
        <v>130</v>
      </c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9"/>
    </row>
    <row r="138" spans="1:38" s="8" customFormat="1" ht="12.75">
      <c r="A138" s="16"/>
      <c r="B138" s="16"/>
      <c r="C138" s="16"/>
      <c r="D138" s="16"/>
      <c r="E138" s="16"/>
      <c r="F138" s="16"/>
      <c r="M138" s="24">
        <f>(M135+M136/60+M137/3600)*15</f>
        <v>88.79293750000001</v>
      </c>
      <c r="N138" s="24">
        <f>N135+N136/60+N137/3600</f>
        <v>7.40706388888889</v>
      </c>
      <c r="O138" s="8">
        <f>RADIANS(O137)</f>
        <v>1.5497305694788852</v>
      </c>
      <c r="P138" s="8">
        <f>RADIANS(P137)</f>
        <v>0.12927823196125954</v>
      </c>
      <c r="R138" s="8">
        <f>DEGREES(ASIN(Q137))</f>
        <v>7.40830758630667</v>
      </c>
      <c r="S138" s="8">
        <f>RADIANS(R138)</f>
        <v>0.12929935938152537</v>
      </c>
      <c r="T138" s="8">
        <f>SIN($D$373)*COS(S135)*$A$370+SIN(S135)*$A$373</f>
        <v>5.169877551158125E-07</v>
      </c>
      <c r="U138" s="22">
        <f>($A$394*U135-U136)*$V$18/COS(S138)</f>
        <v>9.97439344482891E-05</v>
      </c>
      <c r="V138" s="22">
        <f>($A$394*V135-V136)*$V$18</f>
        <v>-4.971376784728484E-06</v>
      </c>
      <c r="W138" s="8">
        <f>360-W135</f>
        <v>271.04765295150867</v>
      </c>
      <c r="AL138" s="9"/>
    </row>
    <row r="139" spans="1:38" s="8" customFormat="1" ht="12.75">
      <c r="A139" s="16" t="s">
        <v>140</v>
      </c>
      <c r="B139" s="16" t="s">
        <v>140</v>
      </c>
      <c r="C139" s="16" t="s">
        <v>140</v>
      </c>
      <c r="D139" s="16" t="s">
        <v>140</v>
      </c>
      <c r="E139" s="16" t="s">
        <v>140</v>
      </c>
      <c r="F139" s="16" t="s">
        <v>140</v>
      </c>
      <c r="M139" s="16" t="s">
        <v>140</v>
      </c>
      <c r="N139" s="16" t="s">
        <v>186</v>
      </c>
      <c r="O139" s="16" t="s">
        <v>140</v>
      </c>
      <c r="P139" s="16" t="s">
        <v>140</v>
      </c>
      <c r="Q139" s="16" t="s">
        <v>140</v>
      </c>
      <c r="R139" s="16" t="s">
        <v>140</v>
      </c>
      <c r="S139" s="16" t="s">
        <v>140</v>
      </c>
      <c r="T139" s="16" t="s">
        <v>186</v>
      </c>
      <c r="U139" s="16" t="s">
        <v>140</v>
      </c>
      <c r="V139" s="16" t="s">
        <v>140</v>
      </c>
      <c r="W139" s="16" t="s">
        <v>140</v>
      </c>
      <c r="X139" s="16" t="s">
        <v>140</v>
      </c>
      <c r="Y139" s="16" t="s">
        <v>140</v>
      </c>
      <c r="Z139" s="16" t="s">
        <v>186</v>
      </c>
      <c r="AA139" s="16" t="s">
        <v>140</v>
      </c>
      <c r="AB139" s="16" t="s">
        <v>140</v>
      </c>
      <c r="AC139" s="16" t="s">
        <v>140</v>
      </c>
      <c r="AD139" s="16" t="s">
        <v>140</v>
      </c>
      <c r="AE139" s="16" t="s">
        <v>140</v>
      </c>
      <c r="AF139" s="16" t="s">
        <v>186</v>
      </c>
      <c r="AG139" s="16" t="s">
        <v>140</v>
      </c>
      <c r="AH139" s="16" t="s">
        <v>140</v>
      </c>
      <c r="AI139" s="16" t="s">
        <v>140</v>
      </c>
      <c r="AJ139" s="16" t="s">
        <v>140</v>
      </c>
      <c r="AK139" s="16" t="s">
        <v>140</v>
      </c>
      <c r="AL139" s="9"/>
    </row>
    <row r="140" spans="1:38" s="8" customFormat="1" ht="12.75">
      <c r="A140" s="16"/>
      <c r="B140" s="16"/>
      <c r="C140" s="16"/>
      <c r="D140" s="16"/>
      <c r="E140" s="16"/>
      <c r="F140" s="16"/>
      <c r="M140" s="23" t="s">
        <v>104</v>
      </c>
      <c r="N140" s="23" t="s">
        <v>139</v>
      </c>
      <c r="O140" s="23" t="s">
        <v>106</v>
      </c>
      <c r="P140" s="23" t="s">
        <v>107</v>
      </c>
      <c r="Q140" s="8" t="s">
        <v>114</v>
      </c>
      <c r="R140" s="8" t="s">
        <v>104</v>
      </c>
      <c r="S140" s="8" t="s">
        <v>118</v>
      </c>
      <c r="T140" s="8" t="s">
        <v>121</v>
      </c>
      <c r="U140" s="8" t="s">
        <v>125</v>
      </c>
      <c r="V140" s="8" t="s">
        <v>126</v>
      </c>
      <c r="W140" s="8" t="s">
        <v>104</v>
      </c>
      <c r="X140" s="8" t="s">
        <v>139</v>
      </c>
      <c r="Y140" s="8" t="s">
        <v>67</v>
      </c>
      <c r="Z140" s="8" t="s">
        <v>68</v>
      </c>
      <c r="AA140" s="8" t="s">
        <v>69</v>
      </c>
      <c r="AB140" s="8" t="s">
        <v>74</v>
      </c>
      <c r="AC140" s="8" t="s">
        <v>73</v>
      </c>
      <c r="AD140" s="8" t="s">
        <v>70</v>
      </c>
      <c r="AE140" s="24" t="s">
        <v>75</v>
      </c>
      <c r="AF140" s="8" t="s">
        <v>71</v>
      </c>
      <c r="AG140" s="8" t="s">
        <v>72</v>
      </c>
      <c r="AH140" s="25" t="s">
        <v>76</v>
      </c>
      <c r="AI140" s="25" t="s">
        <v>77</v>
      </c>
      <c r="AJ140" s="24" t="s">
        <v>78</v>
      </c>
      <c r="AK140" s="24" t="s">
        <v>79</v>
      </c>
      <c r="AL140" s="9"/>
    </row>
    <row r="141" spans="1:38" s="8" customFormat="1" ht="12.75">
      <c r="A141" s="16" t="s">
        <v>186</v>
      </c>
      <c r="B141" s="26">
        <v>17</v>
      </c>
      <c r="C141" s="27">
        <v>-0.7</v>
      </c>
      <c r="D141" s="18" t="s">
        <v>165</v>
      </c>
      <c r="E141" s="11">
        <f>TRUNC(W144)</f>
        <v>263</v>
      </c>
      <c r="F141" s="12">
        <f>ABS(W144-E141)*60</f>
        <v>56.372639969827105</v>
      </c>
      <c r="M141" s="23">
        <v>6</v>
      </c>
      <c r="N141" s="23">
        <v>-52</v>
      </c>
      <c r="O141" s="23">
        <v>0.01999</v>
      </c>
      <c r="P141" s="23">
        <v>0.02367</v>
      </c>
      <c r="Q141" s="8">
        <f>COS(P144)*SIN(O144+$B$381)</f>
        <v>0.6026646520484898</v>
      </c>
      <c r="R141" s="8">
        <f>DEGREES(ATAN2(Q142,Q141))+$C$381</f>
        <v>96.04901924616662</v>
      </c>
      <c r="S141" s="8">
        <f>RADIANS(R142)</f>
        <v>1.6763716291570094</v>
      </c>
      <c r="T141" s="8">
        <f>(COS($D$373)+SIN($D$373)*SIN(S141)*TAN(S144))*$A$370-COS(S141)*TAN(S144)*$A$373</f>
        <v>3.372624138649551E-05</v>
      </c>
      <c r="U141" s="8">
        <f>COS(S141)*COS($D$394)*COS($D$373)+SIN(S141)*SIN($D$394)</f>
        <v>0.9904058567697421</v>
      </c>
      <c r="V141" s="8">
        <f>COS($D$394)*COS($D$373)*(TAN($D$373)*COS(S144)-SIN(S141)*SIN(S144))+COS(S141)*SIN(S144)*SIN($D$394)</f>
        <v>-0.13792825539739434</v>
      </c>
      <c r="W141" s="8">
        <f>DEGREES(U144+T141+S141)</f>
        <v>96.06045600050285</v>
      </c>
      <c r="X141" s="8">
        <f>DEGREES(V144+T144+S144)</f>
        <v>-52.7027875463818</v>
      </c>
      <c r="Y141" s="28">
        <f>V144+T144+S144</f>
        <v>-0.9198371676634262</v>
      </c>
      <c r="Z141" s="8">
        <f>RADIANS(A143)</f>
        <v>3.2242468199662278</v>
      </c>
      <c r="AA141" s="8">
        <f>Z141+$K$2</f>
        <v>1.1298517175730325</v>
      </c>
      <c r="AB141" s="8">
        <f>DEGREES(AA141)</f>
        <v>64.73573489254183</v>
      </c>
      <c r="AC141" s="8">
        <f>AB141-INT(AB141/360)*360</f>
        <v>64.73573489254183</v>
      </c>
      <c r="AD141" s="28">
        <f>SIN(Y141)*SIN($J$2)+COS(Y141)*COS($J$2)*COS(AA141)</f>
        <v>0.6217191969831214</v>
      </c>
      <c r="AE141" s="28">
        <f>ASIN(AD141)</f>
        <v>0.6709357765641515</v>
      </c>
      <c r="AF141" s="28">
        <f>(SIN(Y141)-SIN($J$2)*AD141)/(COS($J$2)*COS(AE141))</f>
        <v>-0.7144908290965866</v>
      </c>
      <c r="AG141" s="8">
        <f>DEGREES(ACOS(AF141))</f>
        <v>135.60148628831672</v>
      </c>
      <c r="AH141" s="8">
        <f>IF(AC141&gt;180,AG141,360-AG141)</f>
        <v>224.39851371168328</v>
      </c>
      <c r="AI141" s="8">
        <f>DEGREES(AE141)</f>
        <v>38.44178832145829</v>
      </c>
      <c r="AJ141" s="28">
        <f>$C$5-AI141</f>
        <v>28.41487834520838</v>
      </c>
      <c r="AK141" s="29">
        <f>$D$5-AH141</f>
        <v>3.501486288316727</v>
      </c>
      <c r="AL141" s="9">
        <f>AJ141*AJ141+AK141*AK141</f>
        <v>819.6657176002622</v>
      </c>
    </row>
    <row r="142" spans="1:38" s="8" customFormat="1" ht="12.75">
      <c r="A142" s="16" t="s">
        <v>137</v>
      </c>
      <c r="B142" s="16" t="s">
        <v>138</v>
      </c>
      <c r="C142" s="16" t="s">
        <v>135</v>
      </c>
      <c r="D142" s="16" t="s">
        <v>139</v>
      </c>
      <c r="E142" s="16" t="s">
        <v>138</v>
      </c>
      <c r="F142" s="16" t="s">
        <v>135</v>
      </c>
      <c r="M142" s="23">
        <v>23</v>
      </c>
      <c r="N142" s="23">
        <v>-41</v>
      </c>
      <c r="O142" s="8" t="s">
        <v>110</v>
      </c>
      <c r="P142" s="8" t="s">
        <v>111</v>
      </c>
      <c r="Q142" s="8">
        <f>COS($F$381)*COS(P144)*COS(O144+$B$381)-SIN($F$381)*SIN(P144)</f>
        <v>-0.06311443214076173</v>
      </c>
      <c r="R142" s="8">
        <f>R141-360*INT(R141/360)</f>
        <v>96.04901924616662</v>
      </c>
      <c r="U142" s="8">
        <f>COS(S141)*COS($D$389)*COS($D$373)+SIN(S141)*SIN($D$389)</f>
        <v>-0.9950631870032349</v>
      </c>
      <c r="V142" s="8">
        <f>COS($D$389)*COS($D$373)*(TAN($D$373)*COS(S144)-SIN(S141)*SIN(S144))+COS(S141)*SIN(S144)*SIN($D$389)</f>
        <v>0.09745366724422527</v>
      </c>
      <c r="AL142" s="9"/>
    </row>
    <row r="143" spans="1:38" s="8" customFormat="1" ht="12.75">
      <c r="A143" s="10">
        <f>($C$376+E141+F141/60)-INT(($C$376+E141+F141/60)/360)*360</f>
        <v>184.7357348925418</v>
      </c>
      <c r="B143" s="11">
        <f>TRUNC(A143)</f>
        <v>184</v>
      </c>
      <c r="C143" s="12">
        <f>(A143-B143)*60</f>
        <v>44.14409355250882</v>
      </c>
      <c r="D143" s="32" t="str">
        <f>IF(X141&gt;=0,"N","S")</f>
        <v>S</v>
      </c>
      <c r="E143" s="11">
        <f>ABS(TRUNC(X141))</f>
        <v>52</v>
      </c>
      <c r="F143" s="12">
        <f>ABS(X141-TRUNC(X141))*60</f>
        <v>42.16725278290795</v>
      </c>
      <c r="M143" s="30">
        <v>57.11</v>
      </c>
      <c r="N143" s="30">
        <v>-44.38</v>
      </c>
      <c r="O143" s="31">
        <f>M144+O141/3600*$A$367</f>
        <v>95.98801941770138</v>
      </c>
      <c r="P143" s="31">
        <f>N144+P141/3600*$A$367</f>
        <v>-52.695588781596776</v>
      </c>
      <c r="Q143" s="31">
        <f>SIN($F$381)*COS(P144)*COS(O144+$B$381)+COS($F$381)*SIN(P144)</f>
        <v>-0.7954947426770473</v>
      </c>
      <c r="R143" s="31" t="s">
        <v>139</v>
      </c>
      <c r="S143" s="20" t="s">
        <v>119</v>
      </c>
      <c r="T143" s="20" t="s">
        <v>122</v>
      </c>
      <c r="U143" s="20" t="s">
        <v>121</v>
      </c>
      <c r="V143" s="20" t="s">
        <v>122</v>
      </c>
      <c r="W143" s="20" t="s">
        <v>130</v>
      </c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9"/>
    </row>
    <row r="144" spans="1:38" s="8" customFormat="1" ht="12.75">
      <c r="A144" s="16"/>
      <c r="B144" s="16"/>
      <c r="C144" s="16"/>
      <c r="D144" s="16"/>
      <c r="E144" s="16"/>
      <c r="F144" s="16"/>
      <c r="M144" s="24">
        <f>(M141+M142/60+M143/3600)*15</f>
        <v>95.98795833333334</v>
      </c>
      <c r="N144" s="24">
        <f>N141+N142/60+N143/3600</f>
        <v>-52.69566111111111</v>
      </c>
      <c r="O144" s="8">
        <f>RADIANS(O143)</f>
        <v>1.6753069813071393</v>
      </c>
      <c r="P144" s="8">
        <f>RADIANS(P143)</f>
        <v>-0.9197115255158509</v>
      </c>
      <c r="R144" s="8">
        <f>DEGREES(ASIN(Q143))</f>
        <v>-52.702010336714004</v>
      </c>
      <c r="S144" s="8">
        <f>RADIANS(R144)</f>
        <v>-0.9198236027957447</v>
      </c>
      <c r="T144" s="8">
        <f>SIN($D$373)*COS(S141)*$A$370+SIN(S141)*$A$373</f>
        <v>-3.652443100408525E-06</v>
      </c>
      <c r="U144" s="22">
        <f>($A$394*U141-U142)*$V$18/COS(S144)</f>
        <v>0.0001658827775224701</v>
      </c>
      <c r="V144" s="22">
        <f>($A$394*V141-V142)*$V$18</f>
        <v>-9.912424580993858E-06</v>
      </c>
      <c r="W144" s="8">
        <f>360-W141</f>
        <v>263.9395439994971</v>
      </c>
      <c r="AL144" s="9"/>
    </row>
    <row r="145" spans="1:38" s="8" customFormat="1" ht="12.75">
      <c r="A145" s="16" t="s">
        <v>140</v>
      </c>
      <c r="B145" s="16" t="s">
        <v>140</v>
      </c>
      <c r="C145" s="16" t="s">
        <v>140</v>
      </c>
      <c r="D145" s="16" t="s">
        <v>140</v>
      </c>
      <c r="E145" s="16" t="s">
        <v>140</v>
      </c>
      <c r="F145" s="16" t="s">
        <v>140</v>
      </c>
      <c r="M145" s="16" t="s">
        <v>140</v>
      </c>
      <c r="N145" s="16" t="s">
        <v>187</v>
      </c>
      <c r="O145" s="16" t="s">
        <v>140</v>
      </c>
      <c r="P145" s="16" t="s">
        <v>140</v>
      </c>
      <c r="Q145" s="16" t="s">
        <v>140</v>
      </c>
      <c r="R145" s="16" t="s">
        <v>140</v>
      </c>
      <c r="S145" s="16" t="s">
        <v>140</v>
      </c>
      <c r="T145" s="16" t="s">
        <v>187</v>
      </c>
      <c r="U145" s="16" t="s">
        <v>140</v>
      </c>
      <c r="V145" s="16" t="s">
        <v>140</v>
      </c>
      <c r="W145" s="16" t="s">
        <v>140</v>
      </c>
      <c r="X145" s="16" t="s">
        <v>140</v>
      </c>
      <c r="Y145" s="16" t="s">
        <v>140</v>
      </c>
      <c r="Z145" s="16" t="s">
        <v>187</v>
      </c>
      <c r="AA145" s="16" t="s">
        <v>140</v>
      </c>
      <c r="AB145" s="16" t="s">
        <v>140</v>
      </c>
      <c r="AC145" s="16" t="s">
        <v>140</v>
      </c>
      <c r="AD145" s="16" t="s">
        <v>140</v>
      </c>
      <c r="AE145" s="16" t="s">
        <v>140</v>
      </c>
      <c r="AF145" s="16" t="s">
        <v>187</v>
      </c>
      <c r="AG145" s="16" t="s">
        <v>140</v>
      </c>
      <c r="AH145" s="16" t="s">
        <v>140</v>
      </c>
      <c r="AI145" s="16" t="s">
        <v>140</v>
      </c>
      <c r="AJ145" s="16" t="s">
        <v>140</v>
      </c>
      <c r="AK145" s="16" t="s">
        <v>140</v>
      </c>
      <c r="AL145" s="9"/>
    </row>
    <row r="146" spans="1:38" s="8" customFormat="1" ht="12.75">
      <c r="A146" s="16"/>
      <c r="B146" s="16"/>
      <c r="C146" s="16"/>
      <c r="D146" s="16"/>
      <c r="E146" s="16"/>
      <c r="F146" s="16"/>
      <c r="M146" s="23" t="s">
        <v>104</v>
      </c>
      <c r="N146" s="23" t="s">
        <v>139</v>
      </c>
      <c r="O146" s="23" t="s">
        <v>106</v>
      </c>
      <c r="P146" s="23" t="s">
        <v>107</v>
      </c>
      <c r="Q146" s="8" t="s">
        <v>114</v>
      </c>
      <c r="R146" s="8" t="s">
        <v>104</v>
      </c>
      <c r="S146" s="8" t="s">
        <v>118</v>
      </c>
      <c r="T146" s="8" t="s">
        <v>121</v>
      </c>
      <c r="U146" s="8" t="s">
        <v>125</v>
      </c>
      <c r="V146" s="8" t="s">
        <v>126</v>
      </c>
      <c r="W146" s="8" t="s">
        <v>104</v>
      </c>
      <c r="X146" s="8" t="s">
        <v>139</v>
      </c>
      <c r="Y146" s="8" t="s">
        <v>67</v>
      </c>
      <c r="Z146" s="8" t="s">
        <v>68</v>
      </c>
      <c r="AA146" s="8" t="s">
        <v>69</v>
      </c>
      <c r="AB146" s="8" t="s">
        <v>74</v>
      </c>
      <c r="AC146" s="8" t="s">
        <v>73</v>
      </c>
      <c r="AD146" s="8" t="s">
        <v>70</v>
      </c>
      <c r="AE146" s="24" t="s">
        <v>75</v>
      </c>
      <c r="AF146" s="8" t="s">
        <v>71</v>
      </c>
      <c r="AG146" s="8" t="s">
        <v>72</v>
      </c>
      <c r="AH146" s="25" t="s">
        <v>76</v>
      </c>
      <c r="AI146" s="25" t="s">
        <v>77</v>
      </c>
      <c r="AJ146" s="24" t="s">
        <v>78</v>
      </c>
      <c r="AK146" s="24" t="s">
        <v>79</v>
      </c>
      <c r="AL146" s="9"/>
    </row>
    <row r="147" spans="1:38" s="8" customFormat="1" ht="12.75">
      <c r="A147" s="16" t="s">
        <v>187</v>
      </c>
      <c r="B147" s="26">
        <v>12</v>
      </c>
      <c r="C147" s="27">
        <v>0.1</v>
      </c>
      <c r="D147" s="18" t="s">
        <v>165</v>
      </c>
      <c r="E147" s="11">
        <f>TRUNC(W150)</f>
        <v>280</v>
      </c>
      <c r="F147" s="12">
        <f>ABS(W150-E147)*60</f>
        <v>36.59841428080199</v>
      </c>
      <c r="M147" s="23">
        <v>5</v>
      </c>
      <c r="N147" s="23">
        <v>45</v>
      </c>
      <c r="O147" s="23">
        <v>0.07552</v>
      </c>
      <c r="P147" s="23">
        <v>-0.42711</v>
      </c>
      <c r="Q147" s="8">
        <f>COS(P150)*SIN(O150+$B$381)</f>
        <v>0.6824925002001434</v>
      </c>
      <c r="R147" s="8">
        <f>DEGREES(ATAN2(Q148,Q147))+$C$381</f>
        <v>79.37582743224844</v>
      </c>
      <c r="S147" s="8">
        <f>RADIANS(R148)</f>
        <v>1.3853695351875717</v>
      </c>
      <c r="T147" s="8">
        <f>(COS($D$373)+SIN($D$373)*SIN(S147)*TAN(S150))*$A$370-COS(S147)*TAN(S150)*$A$373</f>
        <v>0.00011196787783223798</v>
      </c>
      <c r="U147" s="8">
        <f>COS(S147)*COS($D$394)*COS($D$373)+SIN(S147)*SIN($D$394)</f>
        <v>0.918761293433258</v>
      </c>
      <c r="V147" s="8">
        <f>COS($D$394)*COS($D$373)*(TAN($D$373)*COS(S150)-SIN(S147)*SIN(S150))+COS(S147)*SIN(S150)*SIN($D$394)</f>
        <v>0.21376966617722204</v>
      </c>
      <c r="W147" s="8">
        <f>DEGREES(U150+T147+S147)</f>
        <v>79.39002642865333</v>
      </c>
      <c r="X147" s="8">
        <f>DEGREES(V150+T150+S150)</f>
        <v>46.00959133826456</v>
      </c>
      <c r="Y147" s="28">
        <f>V150+T150+S150</f>
        <v>0.8030188563497808</v>
      </c>
      <c r="Z147" s="8">
        <f>RADIANS(A149)</f>
        <v>3.5152007037168316</v>
      </c>
      <c r="AA147" s="8">
        <f>Z147+$K$2</f>
        <v>1.4208056013236363</v>
      </c>
      <c r="AB147" s="8">
        <f>DEGREES(AA147)</f>
        <v>81.40616446439141</v>
      </c>
      <c r="AC147" s="8">
        <f>AB147-INT(AB147/360)*360</f>
        <v>81.40616446439141</v>
      </c>
      <c r="AD147" s="28">
        <f>SIN(Y147)*SIN($J$2)+COS(Y147)*COS($J$2)*COS(AA147)</f>
        <v>-0.26984838498602925</v>
      </c>
      <c r="AE147" s="28">
        <f>ASIN(AD147)</f>
        <v>-0.2732355717986321</v>
      </c>
      <c r="AF147" s="28">
        <f>(SIN(Y147)-SIN($J$2)*AD147)/(COS($J$2)*COS(AE147))</f>
        <v>0.7009630296562669</v>
      </c>
      <c r="AG147" s="8">
        <f>DEGREES(ACOS(AF147))</f>
        <v>45.495680840973904</v>
      </c>
      <c r="AH147" s="8">
        <f>IF(AC147&gt;180,AG147,360-AG147)</f>
        <v>314.50431915902607</v>
      </c>
      <c r="AI147" s="8">
        <f>DEGREES(AE147)</f>
        <v>-15.6552450769054</v>
      </c>
      <c r="AJ147" s="28">
        <f>$C$5-AI147</f>
        <v>82.51191174357207</v>
      </c>
      <c r="AK147" s="29">
        <f>$D$5-AH147</f>
        <v>-86.60431915902606</v>
      </c>
      <c r="AL147" s="9">
        <f>AJ147*AJ147+AK147*AK147</f>
        <v>14308.523676577475</v>
      </c>
    </row>
    <row r="148" spans="1:38" s="8" customFormat="1" ht="12.75">
      <c r="A148" s="16" t="s">
        <v>137</v>
      </c>
      <c r="B148" s="16" t="s">
        <v>138</v>
      </c>
      <c r="C148" s="16" t="s">
        <v>135</v>
      </c>
      <c r="D148" s="16" t="s">
        <v>139</v>
      </c>
      <c r="E148" s="16" t="s">
        <v>138</v>
      </c>
      <c r="F148" s="16" t="s">
        <v>135</v>
      </c>
      <c r="M148" s="23">
        <v>16</v>
      </c>
      <c r="N148" s="23">
        <v>59</v>
      </c>
      <c r="O148" s="8" t="s">
        <v>110</v>
      </c>
      <c r="P148" s="8" t="s">
        <v>111</v>
      </c>
      <c r="Q148" s="8">
        <f>COS($F$381)*COS(P150)*COS(O150+$B$381)-SIN($F$381)*SIN(P150)</f>
        <v>0.12889227537088854</v>
      </c>
      <c r="R148" s="8">
        <f>R147-360*INT(R147/360)</f>
        <v>79.37582743224844</v>
      </c>
      <c r="U148" s="8">
        <f>COS(S147)*COS($D$389)*COS($D$373)+SIN(S147)*SIN($D$389)</f>
        <v>-0.9342470586236828</v>
      </c>
      <c r="V148" s="8">
        <f>COS($D$389)*COS($D$373)*(TAN($D$373)*COS(S150)-SIN(S147)*SIN(S150))+COS(S147)*SIN(S150)*SIN($D$389)</f>
        <v>-0.19960718405986183</v>
      </c>
      <c r="AL148" s="9"/>
    </row>
    <row r="149" spans="1:38" s="8" customFormat="1" ht="12.75">
      <c r="A149" s="10">
        <f>($C$376+E147+F147/60)-INT(($C$376+E147+F147/60)/360)*360</f>
        <v>201.4061644643914</v>
      </c>
      <c r="B149" s="11">
        <f>TRUNC(A149)</f>
        <v>201</v>
      </c>
      <c r="C149" s="12">
        <f>(A149-B149)*60</f>
        <v>24.369867863483705</v>
      </c>
      <c r="D149" s="32" t="str">
        <f>IF(X147&gt;=0,"N","S")</f>
        <v>N</v>
      </c>
      <c r="E149" s="11">
        <f>ABS(TRUNC(X147))</f>
        <v>46</v>
      </c>
      <c r="F149" s="12">
        <f>ABS(X147-TRUNC(X147))*60</f>
        <v>0.5754802958738026</v>
      </c>
      <c r="M149" s="30">
        <v>41.359</v>
      </c>
      <c r="N149" s="30">
        <v>52.77</v>
      </c>
      <c r="O149" s="31">
        <f>M150+O147/3600*$A$367</f>
        <v>79.17255993662536</v>
      </c>
      <c r="P149" s="31">
        <f>N150+P147/3600*$A$367</f>
        <v>45.99668652687506</v>
      </c>
      <c r="Q149" s="31">
        <f>SIN($F$381)*COS(P150)*COS(O150+$B$381)+COS($F$381)*SIN(P150)</f>
        <v>0.7194378142134817</v>
      </c>
      <c r="R149" s="31" t="s">
        <v>139</v>
      </c>
      <c r="S149" s="20" t="s">
        <v>119</v>
      </c>
      <c r="T149" s="20" t="s">
        <v>122</v>
      </c>
      <c r="U149" s="20" t="s">
        <v>121</v>
      </c>
      <c r="V149" s="20" t="s">
        <v>122</v>
      </c>
      <c r="W149" s="20" t="s">
        <v>130</v>
      </c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9"/>
    </row>
    <row r="150" spans="1:38" s="8" customFormat="1" ht="12.75">
      <c r="A150" s="16"/>
      <c r="B150" s="16"/>
      <c r="C150" s="16"/>
      <c r="D150" s="16"/>
      <c r="E150" s="16"/>
      <c r="F150" s="16"/>
      <c r="M150" s="24">
        <f>(M147+M148/60+M149/3600)*15</f>
        <v>79.17232916666666</v>
      </c>
      <c r="N150" s="24">
        <f>N147+N148/60+N149/3600</f>
        <v>45.99799166666667</v>
      </c>
      <c r="O150" s="8">
        <f>RADIANS(O149)</f>
        <v>1.3818218481266658</v>
      </c>
      <c r="P150" s="8">
        <f>RADIANS(P149)</f>
        <v>0.802793624901685</v>
      </c>
      <c r="R150" s="8">
        <f>DEGREES(ASIN(Q149))</f>
        <v>46.00808482548986</v>
      </c>
      <c r="S150" s="8">
        <f>RADIANS(R150)</f>
        <v>0.8029925627416388</v>
      </c>
      <c r="T150" s="8">
        <f>SIN($D$373)*COS(S147)*$A$370+SIN(S147)*$A$373</f>
        <v>6.104809473760578E-06</v>
      </c>
      <c r="U150" s="22">
        <f>($A$394*U147-U148)*$V$18/COS(S150)</f>
        <v>0.00013585135991181813</v>
      </c>
      <c r="V150" s="22">
        <f>($A$394*V147-V148)*$V$18</f>
        <v>2.018879866826546E-05</v>
      </c>
      <c r="W150" s="8">
        <f>360-W147</f>
        <v>280.6099735713467</v>
      </c>
      <c r="AL150" s="9"/>
    </row>
    <row r="151" spans="1:38" s="8" customFormat="1" ht="12.75">
      <c r="A151" s="16" t="s">
        <v>140</v>
      </c>
      <c r="B151" s="16" t="s">
        <v>140</v>
      </c>
      <c r="C151" s="16" t="s">
        <v>140</v>
      </c>
      <c r="D151" s="16" t="s">
        <v>140</v>
      </c>
      <c r="E151" s="16" t="s">
        <v>140</v>
      </c>
      <c r="F151" s="16" t="s">
        <v>140</v>
      </c>
      <c r="M151" s="16" t="s">
        <v>140</v>
      </c>
      <c r="N151" s="16" t="s">
        <v>188</v>
      </c>
      <c r="O151" s="16" t="s">
        <v>140</v>
      </c>
      <c r="P151" s="16" t="s">
        <v>140</v>
      </c>
      <c r="Q151" s="16" t="s">
        <v>140</v>
      </c>
      <c r="R151" s="16" t="s">
        <v>140</v>
      </c>
      <c r="S151" s="16" t="s">
        <v>140</v>
      </c>
      <c r="T151" s="16" t="s">
        <v>188</v>
      </c>
      <c r="U151" s="16" t="s">
        <v>140</v>
      </c>
      <c r="V151" s="16" t="s">
        <v>140</v>
      </c>
      <c r="W151" s="16" t="s">
        <v>140</v>
      </c>
      <c r="X151" s="16" t="s">
        <v>140</v>
      </c>
      <c r="Y151" s="16" t="s">
        <v>140</v>
      </c>
      <c r="Z151" s="16" t="s">
        <v>188</v>
      </c>
      <c r="AA151" s="16" t="s">
        <v>140</v>
      </c>
      <c r="AB151" s="16" t="s">
        <v>140</v>
      </c>
      <c r="AC151" s="16" t="s">
        <v>140</v>
      </c>
      <c r="AD151" s="16" t="s">
        <v>140</v>
      </c>
      <c r="AE151" s="16" t="s">
        <v>140</v>
      </c>
      <c r="AF151" s="16" t="s">
        <v>188</v>
      </c>
      <c r="AG151" s="16" t="s">
        <v>140</v>
      </c>
      <c r="AH151" s="16" t="s">
        <v>140</v>
      </c>
      <c r="AI151" s="16" t="s">
        <v>140</v>
      </c>
      <c r="AJ151" s="16" t="s">
        <v>140</v>
      </c>
      <c r="AK151" s="16" t="s">
        <v>140</v>
      </c>
      <c r="AL151" s="9"/>
    </row>
    <row r="152" spans="1:38" s="8" customFormat="1" ht="12.75">
      <c r="A152" s="16"/>
      <c r="B152" s="16"/>
      <c r="C152" s="16"/>
      <c r="D152" s="16"/>
      <c r="E152" s="16"/>
      <c r="F152" s="16"/>
      <c r="M152" s="23" t="s">
        <v>104</v>
      </c>
      <c r="N152" s="23" t="s">
        <v>139</v>
      </c>
      <c r="O152" s="23" t="s">
        <v>106</v>
      </c>
      <c r="P152" s="23" t="s">
        <v>107</v>
      </c>
      <c r="Q152" s="8" t="s">
        <v>114</v>
      </c>
      <c r="R152" s="8" t="s">
        <v>104</v>
      </c>
      <c r="S152" s="8" t="s">
        <v>118</v>
      </c>
      <c r="T152" s="8" t="s">
        <v>121</v>
      </c>
      <c r="U152" s="8" t="s">
        <v>125</v>
      </c>
      <c r="V152" s="8" t="s">
        <v>126</v>
      </c>
      <c r="W152" s="8" t="s">
        <v>104</v>
      </c>
      <c r="X152" s="8" t="s">
        <v>139</v>
      </c>
      <c r="Y152" s="8" t="s">
        <v>67</v>
      </c>
      <c r="Z152" s="8" t="s">
        <v>68</v>
      </c>
      <c r="AA152" s="8" t="s">
        <v>69</v>
      </c>
      <c r="AB152" s="8" t="s">
        <v>74</v>
      </c>
      <c r="AC152" s="8" t="s">
        <v>73</v>
      </c>
      <c r="AD152" s="8" t="s">
        <v>70</v>
      </c>
      <c r="AE152" s="24" t="s">
        <v>75</v>
      </c>
      <c r="AF152" s="8" t="s">
        <v>71</v>
      </c>
      <c r="AG152" s="8" t="s">
        <v>72</v>
      </c>
      <c r="AH152" s="25" t="s">
        <v>76</v>
      </c>
      <c r="AI152" s="25" t="s">
        <v>77</v>
      </c>
      <c r="AJ152" s="24" t="s">
        <v>78</v>
      </c>
      <c r="AK152" s="24" t="s">
        <v>79</v>
      </c>
      <c r="AL152" s="9"/>
    </row>
    <row r="153" spans="1:38" s="8" customFormat="1" ht="12.75">
      <c r="A153" s="16" t="s">
        <v>188</v>
      </c>
      <c r="B153" s="26">
        <v>53</v>
      </c>
      <c r="C153" s="27">
        <v>1.3</v>
      </c>
      <c r="D153" s="18" t="s">
        <v>165</v>
      </c>
      <c r="E153" s="11">
        <f>TRUNC(W156)</f>
        <v>49</v>
      </c>
      <c r="F153" s="12">
        <f>ABS(W156-E153)*60</f>
        <v>33.13768059352128</v>
      </c>
      <c r="M153" s="23">
        <v>20</v>
      </c>
      <c r="N153" s="23">
        <v>45</v>
      </c>
      <c r="O153" s="23">
        <v>0.00156</v>
      </c>
      <c r="P153" s="23">
        <v>0.00155</v>
      </c>
      <c r="Q153" s="8">
        <f>COS(P156)*SIN(O156+$B$381)</f>
        <v>-0.5356211144966077</v>
      </c>
      <c r="R153" s="8">
        <f>DEGREES(ATAN2(Q154,Q153))+$C$381</f>
        <v>-49.548195473060396</v>
      </c>
      <c r="S153" s="8">
        <f>RADIANS(R154)</f>
        <v>5.418406157752933</v>
      </c>
      <c r="T153" s="8">
        <f>(COS($D$373)+SIN($D$373)*SIN(S153)*TAN(S156))*$A$370-COS(S153)*TAN(S156)*$A$373</f>
        <v>5.182728770919224E-05</v>
      </c>
      <c r="U153" s="8">
        <f>COS(S153)*COS($D$394)*COS($D$373)+SIN(S153)*SIN($D$394)</f>
        <v>-0.8762574655259333</v>
      </c>
      <c r="V153" s="8">
        <f>COS($D$394)*COS($D$373)*(TAN($D$373)*COS(S156)-SIN(S153)*SIN(S156))+COS(S153)*SIN(S156)*SIN($D$394)</f>
        <v>0.2730223797445414</v>
      </c>
      <c r="W153" s="8">
        <f>DEGREES(U156+T153+S153)</f>
        <v>310.4477053234413</v>
      </c>
      <c r="X153" s="8">
        <f>DEGREES(V156+T156+S156)</f>
        <v>45.32308289198641</v>
      </c>
      <c r="Y153" s="28">
        <f>V156+T156+S156</f>
        <v>0.7910370236194764</v>
      </c>
      <c r="Z153" s="8">
        <f>RADIANS(A155)</f>
        <v>5.765668752166555</v>
      </c>
      <c r="AA153" s="8">
        <f>Z153+$K$2</f>
        <v>3.6712736497733593</v>
      </c>
      <c r="AB153" s="8">
        <f>DEGREES(AA153)</f>
        <v>210.3484855696034</v>
      </c>
      <c r="AC153" s="8">
        <f>AB153-INT(AB153/360)*360</f>
        <v>210.3484855696034</v>
      </c>
      <c r="AD153" s="28">
        <f>SIN(Y153)*SIN($J$2)+COS(Y153)*COS($J$2)*COS(AA153)</f>
        <v>-0.8810111066166935</v>
      </c>
      <c r="AE153" s="28">
        <f>ASIN(AD153)</f>
        <v>-1.0779951801208105</v>
      </c>
      <c r="AF153" s="28">
        <f>(SIN(Y153)-SIN($J$2)*AD153)/(COS($J$2)*COS(AE153))</f>
        <v>0.6604071096720157</v>
      </c>
      <c r="AG153" s="8">
        <f>DEGREES(ACOS(AF153))</f>
        <v>48.669071317910536</v>
      </c>
      <c r="AH153" s="8">
        <f>IF(AC153&gt;180,AG153,360-AG153)</f>
        <v>48.669071317910536</v>
      </c>
      <c r="AI153" s="8">
        <f>DEGREES(AE153)</f>
        <v>-61.76457415636742</v>
      </c>
      <c r="AJ153" s="28">
        <f>$C$5-AI153</f>
        <v>128.6212408230341</v>
      </c>
      <c r="AK153" s="29">
        <f>$D$5-AH153</f>
        <v>179.23092868208948</v>
      </c>
      <c r="AL153" s="9">
        <f>AJ153*AJ153+AK153*AK153</f>
        <v>48667.14938710118</v>
      </c>
    </row>
    <row r="154" spans="1:38" s="8" customFormat="1" ht="12.75">
      <c r="A154" s="16" t="s">
        <v>137</v>
      </c>
      <c r="B154" s="16" t="s">
        <v>138</v>
      </c>
      <c r="C154" s="16" t="s">
        <v>135</v>
      </c>
      <c r="D154" s="16" t="s">
        <v>139</v>
      </c>
      <c r="E154" s="16" t="s">
        <v>138</v>
      </c>
      <c r="F154" s="16" t="s">
        <v>135</v>
      </c>
      <c r="M154" s="23">
        <v>41</v>
      </c>
      <c r="N154" s="23">
        <v>16</v>
      </c>
      <c r="O154" s="8" t="s">
        <v>110</v>
      </c>
      <c r="P154" s="8" t="s">
        <v>111</v>
      </c>
      <c r="Q154" s="8">
        <f>COS($F$381)*COS(P156)*COS(O156+$B$381)-SIN($F$381)*SIN(P156)</f>
        <v>0.4555484100035336</v>
      </c>
      <c r="R154" s="8">
        <f>R153-360*INT(R153/360)</f>
        <v>310.4518045269396</v>
      </c>
      <c r="U154" s="8">
        <f>COS(S153)*COS($D$389)*COS($D$373)+SIN(S153)*SIN($D$389)</f>
        <v>0.8583904792319518</v>
      </c>
      <c r="V154" s="8">
        <f>COS($D$389)*COS($D$373)*(TAN($D$373)*COS(S156)-SIN(S153)*SIN(S156))+COS(S153)*SIN(S156)*SIN($D$389)</f>
        <v>-0.30893353005199053</v>
      </c>
      <c r="AL154" s="9"/>
    </row>
    <row r="155" spans="1:38" s="8" customFormat="1" ht="12.75">
      <c r="A155" s="10">
        <f>($C$376+E153+F153/60)-INT(($C$376+E153+F153/60)/360)*360</f>
        <v>330.3484855696034</v>
      </c>
      <c r="B155" s="11">
        <f>TRUNC(A155)</f>
        <v>330</v>
      </c>
      <c r="C155" s="12">
        <f>(A155-B155)*60</f>
        <v>20.909134176202997</v>
      </c>
      <c r="D155" s="32" t="str">
        <f>IF(X153&gt;=0,"N","S")</f>
        <v>N</v>
      </c>
      <c r="E155" s="11">
        <f>ABS(TRUNC(X153))</f>
        <v>45</v>
      </c>
      <c r="F155" s="12">
        <f>ABS(X153-TRUNC(X153))*60</f>
        <v>19.38497351918457</v>
      </c>
      <c r="M155" s="30">
        <v>25.915</v>
      </c>
      <c r="N155" s="30">
        <v>49.22</v>
      </c>
      <c r="O155" s="31">
        <f>M156+O153/3600*$A$367</f>
        <v>310.35798393363086</v>
      </c>
      <c r="P155" s="31">
        <f>N156+P153/3600*$A$367</f>
        <v>45.280343625295615</v>
      </c>
      <c r="Q155" s="31">
        <f>SIN($F$381)*COS(P156)*COS(O156+$B$381)+COS($F$381)*SIN(P156)</f>
        <v>0.711045475232537</v>
      </c>
      <c r="R155" s="31" t="s">
        <v>139</v>
      </c>
      <c r="S155" s="20" t="s">
        <v>119</v>
      </c>
      <c r="T155" s="20" t="s">
        <v>122</v>
      </c>
      <c r="U155" s="20" t="s">
        <v>121</v>
      </c>
      <c r="V155" s="20" t="s">
        <v>122</v>
      </c>
      <c r="W155" s="20" t="s">
        <v>130</v>
      </c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9"/>
    </row>
    <row r="156" spans="1:38" s="8" customFormat="1" ht="12.75">
      <c r="A156" s="16"/>
      <c r="B156" s="16"/>
      <c r="C156" s="16"/>
      <c r="D156" s="16"/>
      <c r="E156" s="16"/>
      <c r="F156" s="16"/>
      <c r="M156" s="24">
        <f>(M153+M154/60+M155/3600)*15</f>
        <v>310.35797916666667</v>
      </c>
      <c r="N156" s="24">
        <f>N153+N154/60+N155/3600</f>
        <v>45.280338888888885</v>
      </c>
      <c r="O156" s="8">
        <f>RADIANS(O155)</f>
        <v>5.416768679493521</v>
      </c>
      <c r="P156" s="8">
        <f>RADIANS(P155)</f>
        <v>0.790291082695834</v>
      </c>
      <c r="R156" s="8">
        <f>DEGREES(ASIN(Q155))</f>
        <v>45.32004185052914</v>
      </c>
      <c r="S156" s="8">
        <f>RADIANS(R156)</f>
        <v>0.7909839474333573</v>
      </c>
      <c r="T156" s="8">
        <f>SIN($D$373)*COS(S153)*$A$370+SIN(S153)*$A$373</f>
        <v>2.1925818422589347E-05</v>
      </c>
      <c r="U156" s="22">
        <f>($A$394*U153-U154)*$V$18/COS(S156)</f>
        <v>-0.00012337188546376058</v>
      </c>
      <c r="V156" s="22">
        <f>($A$394*V153-V154)*$V$18</f>
        <v>3.115036769640675E-05</v>
      </c>
      <c r="W156" s="8">
        <f>360-W153</f>
        <v>49.55229467655869</v>
      </c>
      <c r="AL156" s="9"/>
    </row>
    <row r="157" spans="1:38" s="8" customFormat="1" ht="12.75">
      <c r="A157" s="16" t="s">
        <v>140</v>
      </c>
      <c r="B157" s="16" t="s">
        <v>140</v>
      </c>
      <c r="C157" s="16" t="s">
        <v>140</v>
      </c>
      <c r="D157" s="16" t="s">
        <v>140</v>
      </c>
      <c r="E157" s="16" t="s">
        <v>140</v>
      </c>
      <c r="F157" s="16" t="s">
        <v>140</v>
      </c>
      <c r="M157" s="16" t="s">
        <v>140</v>
      </c>
      <c r="N157" s="16" t="s">
        <v>189</v>
      </c>
      <c r="O157" s="16" t="s">
        <v>140</v>
      </c>
      <c r="P157" s="16" t="s">
        <v>140</v>
      </c>
      <c r="Q157" s="16" t="s">
        <v>140</v>
      </c>
      <c r="R157" s="16" t="s">
        <v>140</v>
      </c>
      <c r="S157" s="16" t="s">
        <v>140</v>
      </c>
      <c r="T157" s="16" t="s">
        <v>189</v>
      </c>
      <c r="U157" s="16" t="s">
        <v>140</v>
      </c>
      <c r="V157" s="16" t="s">
        <v>140</v>
      </c>
      <c r="W157" s="16" t="s">
        <v>140</v>
      </c>
      <c r="X157" s="16" t="s">
        <v>140</v>
      </c>
      <c r="Y157" s="16" t="s">
        <v>140</v>
      </c>
      <c r="Z157" s="16" t="s">
        <v>189</v>
      </c>
      <c r="AA157" s="16" t="s">
        <v>140</v>
      </c>
      <c r="AB157" s="16" t="s">
        <v>140</v>
      </c>
      <c r="AC157" s="16" t="s">
        <v>140</v>
      </c>
      <c r="AD157" s="16" t="s">
        <v>140</v>
      </c>
      <c r="AE157" s="16" t="s">
        <v>140</v>
      </c>
      <c r="AF157" s="16" t="s">
        <v>189</v>
      </c>
      <c r="AG157" s="16" t="s">
        <v>140</v>
      </c>
      <c r="AH157" s="16" t="s">
        <v>140</v>
      </c>
      <c r="AI157" s="16" t="s">
        <v>140</v>
      </c>
      <c r="AJ157" s="16" t="s">
        <v>140</v>
      </c>
      <c r="AK157" s="16" t="s">
        <v>140</v>
      </c>
      <c r="AL157" s="9"/>
    </row>
    <row r="158" spans="1:38" s="8" customFormat="1" ht="12.75">
      <c r="A158" s="16"/>
      <c r="B158" s="16"/>
      <c r="C158" s="16"/>
      <c r="D158" s="16"/>
      <c r="E158" s="16"/>
      <c r="F158" s="16"/>
      <c r="M158" s="23" t="s">
        <v>104</v>
      </c>
      <c r="N158" s="23" t="s">
        <v>139</v>
      </c>
      <c r="O158" s="23" t="s">
        <v>106</v>
      </c>
      <c r="P158" s="23" t="s">
        <v>107</v>
      </c>
      <c r="Q158" s="8" t="s">
        <v>114</v>
      </c>
      <c r="R158" s="8" t="s">
        <v>104</v>
      </c>
      <c r="S158" s="8" t="s">
        <v>118</v>
      </c>
      <c r="T158" s="8" t="s">
        <v>121</v>
      </c>
      <c r="U158" s="8" t="s">
        <v>125</v>
      </c>
      <c r="V158" s="8" t="s">
        <v>126</v>
      </c>
      <c r="W158" s="8" t="s">
        <v>104</v>
      </c>
      <c r="X158" s="8" t="s">
        <v>139</v>
      </c>
      <c r="Y158" s="8" t="s">
        <v>67</v>
      </c>
      <c r="Z158" s="8" t="s">
        <v>68</v>
      </c>
      <c r="AA158" s="8" t="s">
        <v>69</v>
      </c>
      <c r="AB158" s="8" t="s">
        <v>74</v>
      </c>
      <c r="AC158" s="8" t="s">
        <v>73</v>
      </c>
      <c r="AD158" s="8" t="s">
        <v>70</v>
      </c>
      <c r="AE158" s="24" t="s">
        <v>75</v>
      </c>
      <c r="AF158" s="8" t="s">
        <v>71</v>
      </c>
      <c r="AG158" s="8" t="s">
        <v>72</v>
      </c>
      <c r="AH158" s="25" t="s">
        <v>76</v>
      </c>
      <c r="AI158" s="25" t="s">
        <v>77</v>
      </c>
      <c r="AJ158" s="24" t="s">
        <v>78</v>
      </c>
      <c r="AK158" s="24" t="s">
        <v>79</v>
      </c>
      <c r="AL158" s="9"/>
    </row>
    <row r="159" spans="1:38" s="8" customFormat="1" ht="12.75">
      <c r="A159" s="16" t="s">
        <v>189</v>
      </c>
      <c r="B159" s="26">
        <v>28</v>
      </c>
      <c r="C159" s="27">
        <v>2.1</v>
      </c>
      <c r="D159" s="18" t="s">
        <v>165</v>
      </c>
      <c r="E159" s="11">
        <f>TRUNC(W162)</f>
        <v>182</v>
      </c>
      <c r="F159" s="12">
        <f>ABS(W162-E159)*60</f>
        <v>35.35011753082415</v>
      </c>
      <c r="M159" s="23">
        <v>11</v>
      </c>
      <c r="N159" s="23">
        <v>14</v>
      </c>
      <c r="O159" s="23">
        <v>-0.49902</v>
      </c>
      <c r="P159" s="23">
        <v>-0.11378</v>
      </c>
      <c r="Q159" s="8">
        <f>COS(P162)*SIN(O162+$B$381)</f>
        <v>0.04501992540108263</v>
      </c>
      <c r="R159" s="8">
        <f>DEGREES(ATAN2(Q160,Q159))+$C$381</f>
        <v>177.40507136384844</v>
      </c>
      <c r="S159" s="8">
        <f>RADIANS(R160)</f>
        <v>3.0963026050346625</v>
      </c>
      <c r="T159" s="8">
        <f>(COS($D$373)+SIN($D$373)*SIN(S159)*TAN(S162))*$A$370-COS(S159)*TAN(S162)*$A$373</f>
        <v>7.803591839610788E-05</v>
      </c>
      <c r="U159" s="8">
        <f>COS(S159)*COS($D$394)*COS($D$373)+SIN(S159)*SIN($D$394)</f>
        <v>0.2522421068201909</v>
      </c>
      <c r="V159" s="8">
        <f>COS($D$394)*COS($D$373)*(TAN($D$373)*COS(S162)-SIN(S159)*SIN(S162))+COS(S159)*SIN(S162)*SIN($D$394)</f>
        <v>-0.3288466133821635</v>
      </c>
      <c r="W159" s="8">
        <f>DEGREES(U162+T159+S159)</f>
        <v>177.41083137448626</v>
      </c>
      <c r="X159" s="8">
        <f>DEGREES(V162+T162+S162)</f>
        <v>14.50677885244513</v>
      </c>
      <c r="Y159" s="28">
        <f>V162+T162+S162</f>
        <v>0.2531910548338522</v>
      </c>
      <c r="Z159" s="8">
        <f>RADIANS(A161)</f>
        <v>1.8044149219569037</v>
      </c>
      <c r="AA159" s="8">
        <f>Z159+$K$2</f>
        <v>-0.2899801804362916</v>
      </c>
      <c r="AB159" s="8">
        <f>DEGREES(AA159)</f>
        <v>-16.61464048144159</v>
      </c>
      <c r="AC159" s="8">
        <f>AB159-INT(AB159/360)*360</f>
        <v>343.3853595185584</v>
      </c>
      <c r="AD159" s="28">
        <f>SIN(Y159)*SIN($J$2)+COS(Y159)*COS($J$2)*COS(AA159)</f>
        <v>0.6781633164161844</v>
      </c>
      <c r="AE159" s="28">
        <f>ASIN(AD159)</f>
        <v>0.7452605524794433</v>
      </c>
      <c r="AF159" s="28">
        <f>(SIN(Y159)-SIN($J$2)*AD159)/(COS($J$2)*COS(AE159))</f>
        <v>0.9263485624422261</v>
      </c>
      <c r="AG159" s="8">
        <f>DEGREES(ACOS(AF159))</f>
        <v>22.12740676024228</v>
      </c>
      <c r="AH159" s="8">
        <f>IF(AC159&gt;180,AG159,360-AG159)</f>
        <v>22.12740676024228</v>
      </c>
      <c r="AI159" s="8">
        <f>DEGREES(AE159)</f>
        <v>42.7002842946601</v>
      </c>
      <c r="AJ159" s="28">
        <f>$C$5-AI159</f>
        <v>24.15638237200657</v>
      </c>
      <c r="AK159" s="29">
        <f>$D$5-AH159</f>
        <v>205.77259323975773</v>
      </c>
      <c r="AL159" s="9">
        <f>AJ159*AJ159+AK159*AK159</f>
        <v>42925.89093791738</v>
      </c>
    </row>
    <row r="160" spans="1:38" s="8" customFormat="1" ht="12.75">
      <c r="A160" s="16" t="s">
        <v>137</v>
      </c>
      <c r="B160" s="16" t="s">
        <v>138</v>
      </c>
      <c r="C160" s="16" t="s">
        <v>135</v>
      </c>
      <c r="D160" s="16" t="s">
        <v>139</v>
      </c>
      <c r="E160" s="16" t="s">
        <v>138</v>
      </c>
      <c r="F160" s="16" t="s">
        <v>135</v>
      </c>
      <c r="M160" s="23">
        <v>49</v>
      </c>
      <c r="N160" s="23">
        <v>34</v>
      </c>
      <c r="O160" s="8" t="s">
        <v>110</v>
      </c>
      <c r="P160" s="8" t="s">
        <v>111</v>
      </c>
      <c r="Q160" s="8">
        <f>COS($F$381)*COS(P162)*COS(O162+$B$381)-SIN($F$381)*SIN(P162)</f>
        <v>-0.9670542344663302</v>
      </c>
      <c r="R160" s="8">
        <f>R159-360*INT(R159/360)</f>
        <v>177.40507136384844</v>
      </c>
      <c r="U160" s="8">
        <f>COS(S159)*COS($D$389)*COS($D$373)+SIN(S159)*SIN($D$389)</f>
        <v>-0.2149547779956698</v>
      </c>
      <c r="V160" s="8">
        <f>COS($D$389)*COS($D$373)*(TAN($D$373)*COS(S162)-SIN(S159)*SIN(S162))+COS(S159)*SIN(S162)*SIN($D$389)</f>
        <v>0.3156167598018648</v>
      </c>
      <c r="AL160" s="9"/>
    </row>
    <row r="161" spans="1:38" s="8" customFormat="1" ht="12.75">
      <c r="A161" s="10">
        <f>($C$376+E159+F159/60)-INT(($C$376+E159+F159/60)/360)*360</f>
        <v>103.3853595185584</v>
      </c>
      <c r="B161" s="11">
        <f>TRUNC(A161)</f>
        <v>103</v>
      </c>
      <c r="C161" s="12">
        <f>(A161-B161)*60</f>
        <v>23.12157111350416</v>
      </c>
      <c r="D161" s="32" t="str">
        <f>IF(X159&gt;=0,"N","S")</f>
        <v>N</v>
      </c>
      <c r="E161" s="11">
        <f>ABS(TRUNC(X159))</f>
        <v>14</v>
      </c>
      <c r="F161" s="12">
        <f>ABS(X159-TRUNC(X159))*60</f>
        <v>30.406731146707813</v>
      </c>
      <c r="M161" s="30">
        <v>3.578</v>
      </c>
      <c r="N161" s="30">
        <v>19.42</v>
      </c>
      <c r="O161" s="31">
        <f>M162+O159/3600*$A$367</f>
        <v>177.26338345482705</v>
      </c>
      <c r="P161" s="31">
        <f>N162+P159/3600*$A$367</f>
        <v>14.571713428299915</v>
      </c>
      <c r="Q161" s="31">
        <f>SIN($F$381)*COS(P162)*COS(O162+$B$381)+COS($F$381)*SIN(P162)</f>
        <v>0.2505580050958682</v>
      </c>
      <c r="R161" s="31" t="s">
        <v>139</v>
      </c>
      <c r="S161" s="20" t="s">
        <v>119</v>
      </c>
      <c r="T161" s="20" t="s">
        <v>122</v>
      </c>
      <c r="U161" s="20" t="s">
        <v>121</v>
      </c>
      <c r="V161" s="20" t="s">
        <v>122</v>
      </c>
      <c r="W161" s="20" t="s">
        <v>130</v>
      </c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9"/>
    </row>
    <row r="162" spans="1:38" s="8" customFormat="1" ht="12.75">
      <c r="A162" s="16"/>
      <c r="B162" s="16"/>
      <c r="C162" s="16"/>
      <c r="D162" s="16"/>
      <c r="E162" s="16"/>
      <c r="F162" s="16"/>
      <c r="M162" s="24">
        <f>(M159+M160/60+M161/3600)*15</f>
        <v>177.26490833333332</v>
      </c>
      <c r="N162" s="24">
        <f>N159+N160/60+N161/3600</f>
        <v>14.572061111111111</v>
      </c>
      <c r="O162" s="8">
        <f>RADIANS(O161)</f>
        <v>3.0938296845119733</v>
      </c>
      <c r="P162" s="8">
        <f>RADIANS(P161)</f>
        <v>0.2543243769809042</v>
      </c>
      <c r="R162" s="8">
        <f>DEGREES(ASIN(Q161))</f>
        <v>14.510534499630202</v>
      </c>
      <c r="S162" s="8">
        <f>RADIANS(R162)</f>
        <v>0.25325660324277494</v>
      </c>
      <c r="T162" s="8">
        <f>SIN($D$373)*COS(S159)*$A$370+SIN(S159)*$A$373</f>
        <v>-3.364130474017081E-05</v>
      </c>
      <c r="U162" s="22">
        <f>($A$394*U159-U160)*$V$18/COS(S162)</f>
        <v>2.2495232183618466E-05</v>
      </c>
      <c r="V162" s="22">
        <f>($A$394*V159-V160)*$V$18</f>
        <v>-3.190710418260949E-05</v>
      </c>
      <c r="W162" s="8">
        <f>360-W159</f>
        <v>182.58916862551374</v>
      </c>
      <c r="AL162" s="9"/>
    </row>
    <row r="163" spans="1:38" s="8" customFormat="1" ht="12.75">
      <c r="A163" s="16" t="s">
        <v>140</v>
      </c>
      <c r="B163" s="16" t="s">
        <v>140</v>
      </c>
      <c r="C163" s="16" t="s">
        <v>140</v>
      </c>
      <c r="D163" s="16" t="s">
        <v>140</v>
      </c>
      <c r="E163" s="16" t="s">
        <v>140</v>
      </c>
      <c r="F163" s="16" t="s">
        <v>140</v>
      </c>
      <c r="M163" s="16" t="s">
        <v>140</v>
      </c>
      <c r="N163" s="16" t="s">
        <v>190</v>
      </c>
      <c r="O163" s="16" t="s">
        <v>140</v>
      </c>
      <c r="P163" s="16" t="s">
        <v>140</v>
      </c>
      <c r="Q163" s="16" t="s">
        <v>140</v>
      </c>
      <c r="R163" s="16" t="s">
        <v>140</v>
      </c>
      <c r="S163" s="16" t="s">
        <v>140</v>
      </c>
      <c r="T163" s="16" t="s">
        <v>190</v>
      </c>
      <c r="U163" s="16" t="s">
        <v>140</v>
      </c>
      <c r="V163" s="16" t="s">
        <v>140</v>
      </c>
      <c r="W163" s="16" t="s">
        <v>140</v>
      </c>
      <c r="X163" s="16" t="s">
        <v>140</v>
      </c>
      <c r="Y163" s="16" t="s">
        <v>140</v>
      </c>
      <c r="Z163" s="16" t="s">
        <v>190</v>
      </c>
      <c r="AA163" s="16" t="s">
        <v>140</v>
      </c>
      <c r="AB163" s="16" t="s">
        <v>140</v>
      </c>
      <c r="AC163" s="16" t="s">
        <v>140</v>
      </c>
      <c r="AD163" s="16" t="s">
        <v>140</v>
      </c>
      <c r="AE163" s="16" t="s">
        <v>140</v>
      </c>
      <c r="AF163" s="16" t="s">
        <v>190</v>
      </c>
      <c r="AG163" s="16" t="s">
        <v>140</v>
      </c>
      <c r="AH163" s="16" t="s">
        <v>140</v>
      </c>
      <c r="AI163" s="16" t="s">
        <v>140</v>
      </c>
      <c r="AJ163" s="16" t="s">
        <v>140</v>
      </c>
      <c r="AK163" s="16" t="s">
        <v>140</v>
      </c>
      <c r="AL163" s="9"/>
    </row>
    <row r="164" spans="1:38" s="8" customFormat="1" ht="12.75">
      <c r="A164" s="16"/>
      <c r="B164" s="16"/>
      <c r="C164" s="16"/>
      <c r="D164" s="16"/>
      <c r="E164" s="16"/>
      <c r="F164" s="16"/>
      <c r="M164" s="23" t="s">
        <v>104</v>
      </c>
      <c r="N164" s="23" t="s">
        <v>139</v>
      </c>
      <c r="O164" s="23" t="s">
        <v>106</v>
      </c>
      <c r="P164" s="23" t="s">
        <v>107</v>
      </c>
      <c r="Q164" s="8" t="s">
        <v>114</v>
      </c>
      <c r="R164" s="8" t="s">
        <v>104</v>
      </c>
      <c r="S164" s="8" t="s">
        <v>118</v>
      </c>
      <c r="T164" s="8" t="s">
        <v>121</v>
      </c>
      <c r="U164" s="8" t="s">
        <v>125</v>
      </c>
      <c r="V164" s="8" t="s">
        <v>126</v>
      </c>
      <c r="W164" s="8" t="s">
        <v>104</v>
      </c>
      <c r="X164" s="8" t="s">
        <v>139</v>
      </c>
      <c r="Y164" s="8" t="s">
        <v>67</v>
      </c>
      <c r="Z164" s="8" t="s">
        <v>68</v>
      </c>
      <c r="AA164" s="8" t="s">
        <v>69</v>
      </c>
      <c r="AB164" s="8" t="s">
        <v>74</v>
      </c>
      <c r="AC164" s="8" t="s">
        <v>73</v>
      </c>
      <c r="AD164" s="8" t="s">
        <v>70</v>
      </c>
      <c r="AE164" s="24" t="s">
        <v>75</v>
      </c>
      <c r="AF164" s="8" t="s">
        <v>71</v>
      </c>
      <c r="AG164" s="8" t="s">
        <v>72</v>
      </c>
      <c r="AH164" s="25" t="s">
        <v>76</v>
      </c>
      <c r="AI164" s="25" t="s">
        <v>77</v>
      </c>
      <c r="AJ164" s="24" t="s">
        <v>78</v>
      </c>
      <c r="AK164" s="24" t="s">
        <v>79</v>
      </c>
      <c r="AL164" s="9"/>
    </row>
    <row r="165" spans="1:38" s="8" customFormat="1" ht="12.75">
      <c r="A165" s="16" t="s">
        <v>190</v>
      </c>
      <c r="B165" s="26">
        <v>4</v>
      </c>
      <c r="C165" s="27">
        <v>2</v>
      </c>
      <c r="D165" s="18" t="s">
        <v>165</v>
      </c>
      <c r="E165" s="11">
        <f>TRUNC(W168)</f>
        <v>348</v>
      </c>
      <c r="F165" s="12">
        <f>ABS(W168-E165)*60</f>
        <v>57.61717627234134</v>
      </c>
      <c r="M165" s="23">
        <v>0</v>
      </c>
      <c r="N165" s="23">
        <v>-17</v>
      </c>
      <c r="O165" s="23">
        <v>0.23279</v>
      </c>
      <c r="P165" s="23">
        <v>0.03271</v>
      </c>
      <c r="Q165" s="8">
        <f>COS(P168)*SIN(O168+$B$381)</f>
        <v>0.18097172808643186</v>
      </c>
      <c r="R165" s="8">
        <f>DEGREES(ATAN2(Q166,Q165))+$C$381</f>
        <v>11.035263665272362</v>
      </c>
      <c r="S165" s="8">
        <f>RADIANS(R166)</f>
        <v>0.19260168478470016</v>
      </c>
      <c r="T165" s="8">
        <f>(COS($D$373)+SIN($D$373)*SIN(S165)*TAN(S168))*$A$370-COS(S165)*TAN(S168)*$A$373</f>
        <v>7.555020783205782E-05</v>
      </c>
      <c r="U165" s="8">
        <f>COS(S165)*COS($D$394)*COS($D$373)+SIN(S165)*SIN($D$394)</f>
        <v>-0.018099748694816092</v>
      </c>
      <c r="V165" s="8">
        <f>COS($D$394)*COS($D$373)*(TAN($D$373)*COS(S168)-SIN(S165)*SIN(S168))+COS(S165)*SIN(S168)*SIN($D$394)</f>
        <v>-0.39243116782003407</v>
      </c>
      <c r="W165" s="8">
        <f>DEGREES(U168+T165+S165)</f>
        <v>11.039713728794313</v>
      </c>
      <c r="X165" s="8">
        <f>DEGREES(V168+T168+S168)</f>
        <v>-17.926671677208407</v>
      </c>
      <c r="Y165" s="28">
        <f>V168+T168+S168</f>
        <v>-0.3128794446913008</v>
      </c>
      <c r="Z165" s="8">
        <f>RADIANS(A167)</f>
        <v>4.708138705097064</v>
      </c>
      <c r="AA165" s="8">
        <f>Z165+$K$2</f>
        <v>2.613743602703869</v>
      </c>
      <c r="AB165" s="8">
        <f>DEGREES(AA165)</f>
        <v>149.75647716425033</v>
      </c>
      <c r="AC165" s="8">
        <f>AB165-INT(AB165/360)*360</f>
        <v>149.75647716425033</v>
      </c>
      <c r="AD165" s="28">
        <f>SIN(Y165)*SIN($J$2)+COS(Y165)*COS($J$2)*COS(AA165)</f>
        <v>-0.5579311247633597</v>
      </c>
      <c r="AE165" s="28">
        <f>ASIN(AD165)</f>
        <v>-0.5918907453906649</v>
      </c>
      <c r="AF165" s="28">
        <f>(SIN(Y165)-SIN($J$2)*AD165)/(COS($J$2)*COS(AE165))</f>
        <v>-0.8164217446215779</v>
      </c>
      <c r="AG165" s="8">
        <f>DEGREES(ACOS(AF165))</f>
        <v>144.7281843025553</v>
      </c>
      <c r="AH165" s="8">
        <f>IF(AC165&gt;180,AG165,360-AG165)</f>
        <v>215.2718156974447</v>
      </c>
      <c r="AI165" s="8">
        <f>DEGREES(AE165)</f>
        <v>-33.91284164373748</v>
      </c>
      <c r="AJ165" s="28">
        <f>$C$5-AI165</f>
        <v>100.76950831040415</v>
      </c>
      <c r="AK165" s="29">
        <f>$D$5-AH165</f>
        <v>12.628184302555297</v>
      </c>
      <c r="AL165" s="9">
        <f>AJ165*AJ165+AK165*AK165</f>
        <v>10313.964843899914</v>
      </c>
    </row>
    <row r="166" spans="1:38" s="8" customFormat="1" ht="12.75">
      <c r="A166" s="16" t="s">
        <v>137</v>
      </c>
      <c r="B166" s="16" t="s">
        <v>138</v>
      </c>
      <c r="C166" s="16" t="s">
        <v>135</v>
      </c>
      <c r="D166" s="16" t="s">
        <v>139</v>
      </c>
      <c r="E166" s="16" t="s">
        <v>138</v>
      </c>
      <c r="F166" s="16" t="s">
        <v>135</v>
      </c>
      <c r="M166" s="23">
        <v>43</v>
      </c>
      <c r="N166" s="23">
        <v>-59</v>
      </c>
      <c r="O166" s="8" t="s">
        <v>110</v>
      </c>
      <c r="P166" s="8" t="s">
        <v>111</v>
      </c>
      <c r="Q166" s="8">
        <f>COS($F$381)*COS(P168)*COS(O168+$B$381)-SIN($F$381)*SIN(P168)</f>
        <v>0.9340833249596763</v>
      </c>
      <c r="R166" s="8">
        <f>R165-360*INT(R165/360)</f>
        <v>11.035263665272362</v>
      </c>
      <c r="U166" s="8">
        <f>COS(S165)*COS($D$389)*COS($D$373)+SIN(S165)*SIN($D$389)</f>
        <v>-0.020583375915244423</v>
      </c>
      <c r="V166" s="8">
        <f>COS($D$389)*COS($D$373)*(TAN($D$373)*COS(S168)-SIN(S165)*SIN(S168))+COS(S165)*SIN(S168)*SIN($D$389)</f>
        <v>0.3772730930160112</v>
      </c>
      <c r="AL166" s="9"/>
    </row>
    <row r="167" spans="1:38" s="8" customFormat="1" ht="12.75">
      <c r="A167" s="10">
        <f>($C$376+E165+F165/60)-INT(($C$376+E165+F165/60)/360)*360</f>
        <v>269.7564771642503</v>
      </c>
      <c r="B167" s="11">
        <f>TRUNC(A167)</f>
        <v>269</v>
      </c>
      <c r="C167" s="12">
        <f>(A167-B167)*60</f>
        <v>45.388629855019644</v>
      </c>
      <c r="D167" s="32" t="str">
        <f>IF(X165&gt;=0,"N","S")</f>
        <v>S</v>
      </c>
      <c r="E167" s="11">
        <f>ABS(TRUNC(X165))</f>
        <v>17</v>
      </c>
      <c r="F167" s="12">
        <f>ABS(X165-TRUNC(X165))*60</f>
        <v>55.60030063250444</v>
      </c>
      <c r="M167" s="30">
        <v>35.371</v>
      </c>
      <c r="N167" s="30">
        <v>-11.78</v>
      </c>
      <c r="O167" s="31">
        <f>M168+O165/3600*$A$367</f>
        <v>10.898090513842078</v>
      </c>
      <c r="P167" s="31">
        <f>N168+P165/3600*$A$367</f>
        <v>-17.986505602094894</v>
      </c>
      <c r="Q167" s="31">
        <f>SIN($F$381)*COS(P168)*COS(O168+$B$381)+COS($F$381)*SIN(P168)</f>
        <v>-0.30779469726700315</v>
      </c>
      <c r="R167" s="31" t="s">
        <v>139</v>
      </c>
      <c r="S167" s="20" t="s">
        <v>119</v>
      </c>
      <c r="T167" s="20" t="s">
        <v>122</v>
      </c>
      <c r="U167" s="20" t="s">
        <v>121</v>
      </c>
      <c r="V167" s="20" t="s">
        <v>122</v>
      </c>
      <c r="W167" s="20" t="s">
        <v>130</v>
      </c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9"/>
    </row>
    <row r="168" spans="1:38" s="8" customFormat="1" ht="12.75">
      <c r="A168" s="16"/>
      <c r="B168" s="16"/>
      <c r="C168" s="16"/>
      <c r="D168" s="16"/>
      <c r="E168" s="16"/>
      <c r="F168" s="16"/>
      <c r="M168" s="24">
        <f>(M165+M166/60+M167/3600)*15</f>
        <v>10.897379166666667</v>
      </c>
      <c r="N168" s="24">
        <f>N165+N166/60+N167/3600</f>
        <v>-17.986605555555556</v>
      </c>
      <c r="O168" s="8">
        <f>RADIANS(O167)</f>
        <v>0.19020756164690492</v>
      </c>
      <c r="P168" s="8">
        <f>RADIANS(P167)</f>
        <v>-0.313923743684961</v>
      </c>
      <c r="R168" s="8">
        <f>DEGREES(ASIN(Q167))</f>
        <v>-17.926378856090135</v>
      </c>
      <c r="S168" s="8">
        <f>RADIANS(R168)</f>
        <v>-0.3128743339986676</v>
      </c>
      <c r="T168" s="8">
        <f>SIN($D$373)*COS(S165)*$A$370+SIN(S165)*$A$373</f>
        <v>3.3028435675720316E-05</v>
      </c>
      <c r="U168" s="22">
        <f>($A$394*U165-U166)*$V$18/COS(S168)</f>
        <v>2.118052548850193E-06</v>
      </c>
      <c r="V168" s="22">
        <f>($A$394*V165-V166)*$V$18</f>
        <v>-3.813912830895052E-05</v>
      </c>
      <c r="W168" s="8">
        <f>360-W165</f>
        <v>348.9602862712057</v>
      </c>
      <c r="AL168" s="9"/>
    </row>
    <row r="169" spans="1:38" s="8" customFormat="1" ht="12.75">
      <c r="A169" s="16" t="s">
        <v>140</v>
      </c>
      <c r="B169" s="16" t="s">
        <v>140</v>
      </c>
      <c r="C169" s="16" t="s">
        <v>140</v>
      </c>
      <c r="D169" s="16" t="s">
        <v>140</v>
      </c>
      <c r="E169" s="16" t="s">
        <v>140</v>
      </c>
      <c r="F169" s="16" t="s">
        <v>140</v>
      </c>
      <c r="M169" s="16" t="s">
        <v>140</v>
      </c>
      <c r="N169" s="16" t="s">
        <v>191</v>
      </c>
      <c r="O169" s="16" t="s">
        <v>140</v>
      </c>
      <c r="P169" s="16" t="s">
        <v>140</v>
      </c>
      <c r="Q169" s="16" t="s">
        <v>140</v>
      </c>
      <c r="R169" s="16" t="s">
        <v>140</v>
      </c>
      <c r="S169" s="16" t="s">
        <v>140</v>
      </c>
      <c r="T169" s="16" t="s">
        <v>191</v>
      </c>
      <c r="U169" s="16" t="s">
        <v>140</v>
      </c>
      <c r="V169" s="16" t="s">
        <v>140</v>
      </c>
      <c r="W169" s="16" t="s">
        <v>140</v>
      </c>
      <c r="X169" s="16" t="s">
        <v>140</v>
      </c>
      <c r="Y169" s="16" t="s">
        <v>140</v>
      </c>
      <c r="Z169" s="16" t="s">
        <v>191</v>
      </c>
      <c r="AA169" s="16" t="s">
        <v>140</v>
      </c>
      <c r="AB169" s="16" t="s">
        <v>140</v>
      </c>
      <c r="AC169" s="16" t="s">
        <v>140</v>
      </c>
      <c r="AD169" s="16" t="s">
        <v>140</v>
      </c>
      <c r="AE169" s="16" t="s">
        <v>140</v>
      </c>
      <c r="AF169" s="16" t="s">
        <v>191</v>
      </c>
      <c r="AG169" s="16" t="s">
        <v>140</v>
      </c>
      <c r="AH169" s="16" t="s">
        <v>140</v>
      </c>
      <c r="AI169" s="16" t="s">
        <v>140</v>
      </c>
      <c r="AJ169" s="16" t="s">
        <v>140</v>
      </c>
      <c r="AK169" s="16" t="s">
        <v>140</v>
      </c>
      <c r="AL169" s="9"/>
    </row>
    <row r="170" spans="1:38" s="8" customFormat="1" ht="12.75">
      <c r="A170" s="16"/>
      <c r="B170" s="16"/>
      <c r="C170" s="16"/>
      <c r="D170" s="16"/>
      <c r="E170" s="16"/>
      <c r="F170" s="16"/>
      <c r="M170" s="23" t="s">
        <v>104</v>
      </c>
      <c r="N170" s="23" t="s">
        <v>139</v>
      </c>
      <c r="O170" s="23" t="s">
        <v>106</v>
      </c>
      <c r="P170" s="23" t="s">
        <v>107</v>
      </c>
      <c r="Q170" s="8" t="s">
        <v>114</v>
      </c>
      <c r="R170" s="8" t="s">
        <v>104</v>
      </c>
      <c r="S170" s="8" t="s">
        <v>118</v>
      </c>
      <c r="T170" s="8" t="s">
        <v>121</v>
      </c>
      <c r="U170" s="8" t="s">
        <v>125</v>
      </c>
      <c r="V170" s="8" t="s">
        <v>126</v>
      </c>
      <c r="W170" s="8" t="s">
        <v>104</v>
      </c>
      <c r="X170" s="8" t="s">
        <v>139</v>
      </c>
      <c r="Y170" s="8" t="s">
        <v>67</v>
      </c>
      <c r="Z170" s="8" t="s">
        <v>68</v>
      </c>
      <c r="AA170" s="8" t="s">
        <v>69</v>
      </c>
      <c r="AB170" s="8" t="s">
        <v>74</v>
      </c>
      <c r="AC170" s="8" t="s">
        <v>73</v>
      </c>
      <c r="AD170" s="8" t="s">
        <v>70</v>
      </c>
      <c r="AE170" s="24" t="s">
        <v>75</v>
      </c>
      <c r="AF170" s="8" t="s">
        <v>71</v>
      </c>
      <c r="AG170" s="8" t="s">
        <v>72</v>
      </c>
      <c r="AH170" s="25" t="s">
        <v>76</v>
      </c>
      <c r="AI170" s="25" t="s">
        <v>77</v>
      </c>
      <c r="AJ170" s="24" t="s">
        <v>78</v>
      </c>
      <c r="AK170" s="24" t="s">
        <v>79</v>
      </c>
      <c r="AL170" s="9"/>
    </row>
    <row r="171" spans="1:38" s="8" customFormat="1" ht="12.75">
      <c r="A171" s="16" t="s">
        <v>191</v>
      </c>
      <c r="B171" s="26">
        <v>27</v>
      </c>
      <c r="C171" s="27">
        <v>1.8</v>
      </c>
      <c r="D171" s="18" t="s">
        <v>165</v>
      </c>
      <c r="E171" s="11">
        <f>TRUNC(W174)</f>
        <v>193</v>
      </c>
      <c r="F171" s="12">
        <f>ABS(W174-E171)*60</f>
        <v>53.387571937143434</v>
      </c>
      <c r="M171" s="23">
        <v>11</v>
      </c>
      <c r="N171" s="23">
        <v>61</v>
      </c>
      <c r="O171" s="23">
        <v>-0.13646</v>
      </c>
      <c r="P171" s="23">
        <v>-0.03525</v>
      </c>
      <c r="Q171" s="8">
        <f>COS(P174)*SIN(O174+$B$381)</f>
        <v>0.11448683439185399</v>
      </c>
      <c r="R171" s="8">
        <f>DEGREES(ATAN2(Q172,Q171))+$C$381</f>
        <v>166.09999759238735</v>
      </c>
      <c r="S171" s="8">
        <f>RADIANS(R172)</f>
        <v>2.8989918455418136</v>
      </c>
      <c r="T171" s="8">
        <f>(COS($D$373)+SIN($D$373)*SIN(S171)*TAN(S174))*$A$370-COS(S171)*TAN(S174)*$A$373</f>
        <v>9.249669400009316E-05</v>
      </c>
      <c r="U171" s="8">
        <f>COS(S171)*COS($D$394)*COS($D$373)+SIN(S171)*SIN($D$394)</f>
        <v>0.43621370526900677</v>
      </c>
      <c r="V171" s="8">
        <f>COS($D$394)*COS($D$373)*(TAN($D$373)*COS(S174)-SIN(S171)*SIN(S174))+COS(S171)*SIN(S174)*SIN($D$394)</f>
        <v>-0.8310628706842722</v>
      </c>
      <c r="W171" s="8">
        <f>DEGREES(U174+T171+S171)</f>
        <v>166.11020713438094</v>
      </c>
      <c r="X171" s="8">
        <f>DEGREES(V174+T174+S174)</f>
        <v>61.684767474581776</v>
      </c>
      <c r="Y171" s="28">
        <f>V174+T174+S174</f>
        <v>1.0766022907585595</v>
      </c>
      <c r="Z171" s="8">
        <f>RADIANS(A173)</f>
        <v>2.001648022477424</v>
      </c>
      <c r="AA171" s="8">
        <f>Z171+$K$2</f>
        <v>-0.09274707991577147</v>
      </c>
      <c r="AB171" s="8">
        <f>DEGREES(AA171)</f>
        <v>-5.314016241336268</v>
      </c>
      <c r="AC171" s="8">
        <f>AB171-INT(AB171/360)*360</f>
        <v>354.6859837586637</v>
      </c>
      <c r="AD171" s="28">
        <f>SIN(Y171)*SIN($J$2)+COS(Y171)*COS($J$2)*COS(AA171)</f>
        <v>-0.031165984379577516</v>
      </c>
      <c r="AE171" s="28">
        <f>ASIN(AD171)</f>
        <v>-0.031171031936103204</v>
      </c>
      <c r="AF171" s="28">
        <f>(SIN(Y171)-SIN($J$2)*AD171)/(COS($J$2)*COS(AE171))</f>
        <v>0.9990337181427931</v>
      </c>
      <c r="AG171" s="8">
        <f>DEGREES(ACOS(AF171))</f>
        <v>2.5189788439531116</v>
      </c>
      <c r="AH171" s="8">
        <f>IF(AC171&gt;180,AG171,360-AG171)</f>
        <v>2.5189788439531116</v>
      </c>
      <c r="AI171" s="8">
        <f>DEGREES(AE171)</f>
        <v>-1.7859685730062167</v>
      </c>
      <c r="AJ171" s="28">
        <f>$C$5-AI171</f>
        <v>68.64263523967288</v>
      </c>
      <c r="AK171" s="29">
        <f>$D$5-AH171</f>
        <v>225.3810211560469</v>
      </c>
      <c r="AL171" s="9">
        <f>AJ171*AJ171+AK171*AK171</f>
        <v>55508.41606998924</v>
      </c>
    </row>
    <row r="172" spans="1:38" s="8" customFormat="1" ht="12.75">
      <c r="A172" s="16" t="s">
        <v>137</v>
      </c>
      <c r="B172" s="16" t="s">
        <v>138</v>
      </c>
      <c r="C172" s="16" t="s">
        <v>135</v>
      </c>
      <c r="D172" s="16" t="s">
        <v>139</v>
      </c>
      <c r="E172" s="16" t="s">
        <v>138</v>
      </c>
      <c r="F172" s="16" t="s">
        <v>135</v>
      </c>
      <c r="M172" s="23">
        <v>3</v>
      </c>
      <c r="N172" s="23">
        <v>45</v>
      </c>
      <c r="O172" s="8" t="s">
        <v>110</v>
      </c>
      <c r="P172" s="8" t="s">
        <v>111</v>
      </c>
      <c r="Q172" s="8">
        <f>COS($F$381)*COS(P174)*COS(O174+$B$381)-SIN($F$381)*SIN(P174)</f>
        <v>-0.4601916159760188</v>
      </c>
      <c r="R172" s="8">
        <f>R171-360*INT(R171/360)</f>
        <v>166.09999759238735</v>
      </c>
      <c r="U172" s="8">
        <f>COS(S171)*COS($D$389)*COS($D$373)+SIN(S171)*SIN($D$389)</f>
        <v>-0.4016845314796935</v>
      </c>
      <c r="V172" s="8">
        <f>COS($D$389)*COS($D$373)*(TAN($D$373)*COS(S174)-SIN(S171)*SIN(S174))+COS(S171)*SIN(S174)*SIN($D$389)</f>
        <v>0.838704470867502</v>
      </c>
      <c r="AL172" s="9"/>
    </row>
    <row r="173" spans="1:38" s="8" customFormat="1" ht="12.75">
      <c r="A173" s="10">
        <f>($C$376+E171+F171/60)-INT(($C$376+E171+F171/60)/360)*360</f>
        <v>114.68598375866372</v>
      </c>
      <c r="B173" s="11">
        <f>TRUNC(A173)</f>
        <v>114</v>
      </c>
      <c r="C173" s="12">
        <f>(A173-B173)*60</f>
        <v>41.159025519823444</v>
      </c>
      <c r="D173" s="32" t="str">
        <f>IF(X171&gt;=0,"N","S")</f>
        <v>N</v>
      </c>
      <c r="E173" s="11">
        <f>ABS(TRUNC(X171))</f>
        <v>61</v>
      </c>
      <c r="F173" s="12">
        <f>ABS(X171-TRUNC(X171))*60</f>
        <v>41.086048474906534</v>
      </c>
      <c r="M173" s="30">
        <v>43.669</v>
      </c>
      <c r="N173" s="30">
        <v>3.72</v>
      </c>
      <c r="O173" s="31">
        <f>M174+O171/3600*$A$367</f>
        <v>165.93153717952995</v>
      </c>
      <c r="P173" s="31">
        <f>N174+P171/3600*$A$367</f>
        <v>61.75092561827713</v>
      </c>
      <c r="Q173" s="31">
        <f>SIN($F$381)*COS(P174)*COS(O174+$B$381)+COS($F$381)*SIN(P174)</f>
        <v>0.8804069748339756</v>
      </c>
      <c r="R173" s="31" t="s">
        <v>139</v>
      </c>
      <c r="S173" s="20" t="s">
        <v>119</v>
      </c>
      <c r="T173" s="20" t="s">
        <v>122</v>
      </c>
      <c r="U173" s="20" t="s">
        <v>121</v>
      </c>
      <c r="V173" s="20" t="s">
        <v>122</v>
      </c>
      <c r="W173" s="20" t="s">
        <v>130</v>
      </c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9"/>
    </row>
    <row r="174" spans="1:38" s="8" customFormat="1" ht="12.75">
      <c r="A174" s="16"/>
      <c r="B174" s="16"/>
      <c r="C174" s="16"/>
      <c r="D174" s="16"/>
      <c r="E174" s="16"/>
      <c r="F174" s="16"/>
      <c r="M174" s="24">
        <f>(M171+M172/60+M173/3600)*15</f>
        <v>165.93195416666669</v>
      </c>
      <c r="N174" s="24">
        <f>N171+N172/60+N173/3600</f>
        <v>61.75103333333333</v>
      </c>
      <c r="O174" s="8">
        <f>RADIANS(O173)</f>
        <v>2.896051656678183</v>
      </c>
      <c r="P174" s="8">
        <f>RADIANS(P173)</f>
        <v>1.077756968193051</v>
      </c>
      <c r="R174" s="8">
        <f>DEGREES(ASIN(Q173))</f>
        <v>61.691495579777985</v>
      </c>
      <c r="S174" s="8">
        <f>RADIANS(R174)</f>
        <v>1.076719718346654</v>
      </c>
      <c r="T174" s="8">
        <f>SIN($D$373)*COS(S171)*$A$370+SIN(S171)*$A$373</f>
        <v>-3.2710252926839924E-05</v>
      </c>
      <c r="U174" s="22">
        <f>($A$394*U171-U172)*$V$18/COS(S174)</f>
        <v>8.569342890842658E-05</v>
      </c>
      <c r="V174" s="22">
        <f>($A$394*V171-V172)*$V$18</f>
        <v>-8.471733516750102E-05</v>
      </c>
      <c r="W174" s="8">
        <f>360-W171</f>
        <v>193.88979286561906</v>
      </c>
      <c r="AL174" s="9"/>
    </row>
    <row r="175" spans="1:38" s="8" customFormat="1" ht="12.75">
      <c r="A175" s="16" t="s">
        <v>140</v>
      </c>
      <c r="B175" s="16" t="s">
        <v>140</v>
      </c>
      <c r="C175" s="16" t="s">
        <v>140</v>
      </c>
      <c r="D175" s="16" t="s">
        <v>140</v>
      </c>
      <c r="E175" s="16" t="s">
        <v>140</v>
      </c>
      <c r="F175" s="16" t="s">
        <v>140</v>
      </c>
      <c r="M175" s="16" t="s">
        <v>140</v>
      </c>
      <c r="N175" s="16" t="s">
        <v>192</v>
      </c>
      <c r="O175" s="16" t="s">
        <v>140</v>
      </c>
      <c r="P175" s="16" t="s">
        <v>140</v>
      </c>
      <c r="Q175" s="16" t="s">
        <v>140</v>
      </c>
      <c r="R175" s="16" t="s">
        <v>140</v>
      </c>
      <c r="S175" s="16" t="s">
        <v>140</v>
      </c>
      <c r="T175" s="16" t="s">
        <v>192</v>
      </c>
      <c r="U175" s="16" t="s">
        <v>140</v>
      </c>
      <c r="V175" s="16" t="s">
        <v>140</v>
      </c>
      <c r="W175" s="16" t="s">
        <v>140</v>
      </c>
      <c r="X175" s="16" t="s">
        <v>140</v>
      </c>
      <c r="Y175" s="16" t="s">
        <v>140</v>
      </c>
      <c r="Z175" s="16" t="s">
        <v>192</v>
      </c>
      <c r="AA175" s="16" t="s">
        <v>140</v>
      </c>
      <c r="AB175" s="16" t="s">
        <v>140</v>
      </c>
      <c r="AC175" s="16" t="s">
        <v>140</v>
      </c>
      <c r="AD175" s="16" t="s">
        <v>140</v>
      </c>
      <c r="AE175" s="16" t="s">
        <v>140</v>
      </c>
      <c r="AF175" s="16" t="s">
        <v>192</v>
      </c>
      <c r="AG175" s="16" t="s">
        <v>140</v>
      </c>
      <c r="AH175" s="16" t="s">
        <v>140</v>
      </c>
      <c r="AI175" s="16" t="s">
        <v>140</v>
      </c>
      <c r="AJ175" s="16" t="s">
        <v>140</v>
      </c>
      <c r="AK175" s="16" t="s">
        <v>140</v>
      </c>
      <c r="AL175" s="9"/>
    </row>
    <row r="176" spans="1:38" s="8" customFormat="1" ht="12.75">
      <c r="A176" s="16"/>
      <c r="B176" s="16"/>
      <c r="C176" s="16"/>
      <c r="D176" s="16"/>
      <c r="E176" s="16"/>
      <c r="F176" s="16"/>
      <c r="M176" s="23" t="s">
        <v>104</v>
      </c>
      <c r="N176" s="23" t="s">
        <v>139</v>
      </c>
      <c r="O176" s="23" t="s">
        <v>106</v>
      </c>
      <c r="P176" s="23" t="s">
        <v>107</v>
      </c>
      <c r="Q176" s="8" t="s">
        <v>114</v>
      </c>
      <c r="R176" s="8" t="s">
        <v>104</v>
      </c>
      <c r="S176" s="8" t="s">
        <v>118</v>
      </c>
      <c r="T176" s="8" t="s">
        <v>121</v>
      </c>
      <c r="U176" s="8" t="s">
        <v>125</v>
      </c>
      <c r="V176" s="8" t="s">
        <v>126</v>
      </c>
      <c r="W176" s="8" t="s">
        <v>104</v>
      </c>
      <c r="X176" s="8" t="s">
        <v>139</v>
      </c>
      <c r="Y176" s="8" t="s">
        <v>67</v>
      </c>
      <c r="Z176" s="8" t="s">
        <v>68</v>
      </c>
      <c r="AA176" s="8" t="s">
        <v>69</v>
      </c>
      <c r="AB176" s="8" t="s">
        <v>74</v>
      </c>
      <c r="AC176" s="8" t="s">
        <v>73</v>
      </c>
      <c r="AD176" s="8" t="s">
        <v>70</v>
      </c>
      <c r="AE176" s="24" t="s">
        <v>75</v>
      </c>
      <c r="AF176" s="8" t="s">
        <v>71</v>
      </c>
      <c r="AG176" s="8" t="s">
        <v>72</v>
      </c>
      <c r="AH176" s="25" t="s">
        <v>76</v>
      </c>
      <c r="AI176" s="25" t="s">
        <v>77</v>
      </c>
      <c r="AJ176" s="24" t="s">
        <v>78</v>
      </c>
      <c r="AK176" s="24" t="s">
        <v>79</v>
      </c>
      <c r="AL176" s="9"/>
    </row>
    <row r="177" spans="1:38" s="8" customFormat="1" ht="12.75">
      <c r="A177" s="16" t="s">
        <v>192</v>
      </c>
      <c r="B177" s="26">
        <v>14</v>
      </c>
      <c r="C177" s="27">
        <v>1.7</v>
      </c>
      <c r="D177" s="18" t="s">
        <v>165</v>
      </c>
      <c r="E177" s="11">
        <f>TRUNC(W180)</f>
        <v>278</v>
      </c>
      <c r="F177" s="12">
        <f>ABS(W180-E177)*60</f>
        <v>14.472829195514123</v>
      </c>
      <c r="M177" s="23">
        <v>5</v>
      </c>
      <c r="N177" s="23">
        <v>28</v>
      </c>
      <c r="O177" s="23">
        <v>0.02328</v>
      </c>
      <c r="P177" s="23">
        <v>-0.17422</v>
      </c>
      <c r="Q177" s="8">
        <f>COS(P180)*SIN(O180+$B$381)</f>
        <v>0.8686042382022615</v>
      </c>
      <c r="R177" s="8">
        <f>DEGREES(ATAN2(Q178,Q177))+$C$381</f>
        <v>81.74704546302185</v>
      </c>
      <c r="S177" s="8">
        <f>RADIANS(R178)</f>
        <v>1.4267550971072238</v>
      </c>
      <c r="T177" s="8">
        <f>(COS($D$373)+SIN($D$373)*SIN(S177)*TAN(S180))*$A$370-COS(S177)*TAN(S180)*$A$373</f>
        <v>9.585655111072125E-05</v>
      </c>
      <c r="U177" s="8">
        <f>COS(S177)*COS($D$394)*COS($D$373)+SIN(S177)*SIN($D$394)</f>
        <v>0.9338762250817647</v>
      </c>
      <c r="V177" s="8">
        <f>COS($D$394)*COS($D$373)*(TAN($D$373)*COS(S180)-SIN(S177)*SIN(S180))+COS(S177)*SIN(S180)*SIN($D$394)</f>
        <v>0.08641393918782625</v>
      </c>
      <c r="W177" s="8">
        <f>DEGREES(U180+T177+S177)</f>
        <v>81.75878618007475</v>
      </c>
      <c r="X177" s="8">
        <f>DEGREES(V180+T180+S180)</f>
        <v>28.616555530037918</v>
      </c>
      <c r="Y177" s="28">
        <f>V180+T180+S180</f>
        <v>0.4994531145789527</v>
      </c>
      <c r="Z177" s="8">
        <f>RADIANS(A179)</f>
        <v>3.4738580468658036</v>
      </c>
      <c r="AA177" s="8">
        <f>Z177+$K$2</f>
        <v>1.3794629444726083</v>
      </c>
      <c r="AB177" s="8">
        <f>DEGREES(AA177)</f>
        <v>79.03740471296989</v>
      </c>
      <c r="AC177" s="8">
        <f>AB177-INT(AB177/360)*360</f>
        <v>79.03740471296989</v>
      </c>
      <c r="AD177" s="28">
        <f>SIN(Y177)*SIN($J$2)+COS(Y177)*COS($J$2)*COS(AA177)</f>
        <v>-0.09490016767359358</v>
      </c>
      <c r="AE177" s="28">
        <f>ASIN(AD177)</f>
        <v>-0.09504319389343557</v>
      </c>
      <c r="AF177" s="28">
        <f>(SIN(Y177)-SIN($J$2)*AD177)/(COS($J$2)*COS(AE177))</f>
        <v>0.5005069143112169</v>
      </c>
      <c r="AG177" s="8">
        <f>DEGREES(ACOS(AF177))</f>
        <v>59.96645714846875</v>
      </c>
      <c r="AH177" s="8">
        <f>IF(AC177&gt;180,AG177,360-AG177)</f>
        <v>300.03354285153125</v>
      </c>
      <c r="AI177" s="8">
        <f>DEGREES(AE177)</f>
        <v>-5.445573881537417</v>
      </c>
      <c r="AJ177" s="28">
        <f>$C$5-AI177</f>
        <v>72.30224054820408</v>
      </c>
      <c r="AK177" s="29">
        <f>$D$5-AH177</f>
        <v>-72.13354285153125</v>
      </c>
      <c r="AL177" s="9">
        <f>AJ177*AJ177+AK177*AK177</f>
        <v>10430.861992604061</v>
      </c>
    </row>
    <row r="178" spans="1:38" s="8" customFormat="1" ht="12.75">
      <c r="A178" s="16" t="s">
        <v>137</v>
      </c>
      <c r="B178" s="16" t="s">
        <v>138</v>
      </c>
      <c r="C178" s="16" t="s">
        <v>135</v>
      </c>
      <c r="D178" s="16" t="s">
        <v>139</v>
      </c>
      <c r="E178" s="16" t="s">
        <v>138</v>
      </c>
      <c r="F178" s="16" t="s">
        <v>135</v>
      </c>
      <c r="M178" s="23">
        <v>26</v>
      </c>
      <c r="N178" s="23">
        <v>36</v>
      </c>
      <c r="O178" s="8" t="s">
        <v>110</v>
      </c>
      <c r="P178" s="8" t="s">
        <v>111</v>
      </c>
      <c r="Q178" s="8">
        <f>COS($F$381)*COS(P180)*COS(O180+$B$381)-SIN($F$381)*SIN(P180)</f>
        <v>0.12707844061293555</v>
      </c>
      <c r="R178" s="8">
        <f>R177-360*INT(R177/360)</f>
        <v>81.74704546302185</v>
      </c>
      <c r="U178" s="8">
        <f>COS(S177)*COS($D$389)*COS($D$373)+SIN(S177)*SIN($D$389)</f>
        <v>-0.9478811193235023</v>
      </c>
      <c r="V178" s="8">
        <f>COS($D$389)*COS($D$373)*(TAN($D$373)*COS(S180)-SIN(S177)*SIN(S180))+COS(S177)*SIN(S180)*SIN($D$389)</f>
        <v>-0.08348754715267698</v>
      </c>
      <c r="AL178" s="9"/>
    </row>
    <row r="179" spans="1:38" s="8" customFormat="1" ht="12.75">
      <c r="A179" s="10">
        <f>($C$376+E177+F177/60)-INT(($C$376+E177+F177/60)/360)*360</f>
        <v>199.03740471296987</v>
      </c>
      <c r="B179" s="11">
        <f>TRUNC(A179)</f>
        <v>199</v>
      </c>
      <c r="C179" s="12">
        <f>(A179-B179)*60</f>
        <v>2.244282778192428</v>
      </c>
      <c r="D179" s="32" t="str">
        <f>IF(X177&gt;=0,"N","S")</f>
        <v>N</v>
      </c>
      <c r="E179" s="11">
        <f>ABS(TRUNC(X177))</f>
        <v>28</v>
      </c>
      <c r="F179" s="12">
        <f>ABS(X177-TRUNC(X177))*60</f>
        <v>36.99333180227505</v>
      </c>
      <c r="M179" s="30">
        <v>17.513</v>
      </c>
      <c r="N179" s="30">
        <v>26.82</v>
      </c>
      <c r="O179" s="31">
        <f>M180+O177/3600*$A$367</f>
        <v>81.57304197110662</v>
      </c>
      <c r="P179" s="31">
        <f>N180+P177/3600*$A$367</f>
        <v>28.60691762788393</v>
      </c>
      <c r="Q179" s="31">
        <f>SIN($F$381)*COS(P180)*COS(O180+$B$381)+COS($F$381)*SIN(P180)</f>
        <v>0.4789339696747911</v>
      </c>
      <c r="R179" s="31" t="s">
        <v>139</v>
      </c>
      <c r="S179" s="20" t="s">
        <v>119</v>
      </c>
      <c r="T179" s="20" t="s">
        <v>122</v>
      </c>
      <c r="U179" s="20" t="s">
        <v>121</v>
      </c>
      <c r="V179" s="20" t="s">
        <v>122</v>
      </c>
      <c r="W179" s="20" t="s">
        <v>130</v>
      </c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9"/>
    </row>
    <row r="180" spans="1:38" s="8" customFormat="1" ht="12.75">
      <c r="A180" s="16"/>
      <c r="B180" s="16"/>
      <c r="C180" s="16"/>
      <c r="D180" s="16"/>
      <c r="E180" s="16"/>
      <c r="F180" s="16"/>
      <c r="M180" s="24">
        <f>(M177+M178/60+M179/3600)*15</f>
        <v>81.57297083333333</v>
      </c>
      <c r="N180" s="24">
        <f>N177+N178/60+N179/3600</f>
        <v>28.60745</v>
      </c>
      <c r="O180" s="8">
        <f>RADIANS(O179)</f>
        <v>1.4237181632633356</v>
      </c>
      <c r="P180" s="8">
        <f>RADIANS(P179)</f>
        <v>0.4992849014533806</v>
      </c>
      <c r="R180" s="8">
        <f>DEGREES(ASIN(Q179))</f>
        <v>28.61580101673661</v>
      </c>
      <c r="S180" s="8">
        <f>RADIANS(R180)</f>
        <v>0.4994399458375948</v>
      </c>
      <c r="T180" s="8">
        <f>SIN($D$373)*COS(S177)*$A$370+SIN(S177)*$A$373</f>
        <v>4.729564700568509E-06</v>
      </c>
      <c r="U180" s="22">
        <f>($A$394*U177-U178)*$V$18/COS(S180)</f>
        <v>0.00010905761800730388</v>
      </c>
      <c r="V180" s="22">
        <f>($A$394*V177-V178)*$V$18</f>
        <v>8.439176657325878E-06</v>
      </c>
      <c r="W180" s="8">
        <f>360-W177</f>
        <v>278.24121381992524</v>
      </c>
      <c r="AL180" s="9"/>
    </row>
    <row r="181" spans="1:38" s="8" customFormat="1" ht="12.75">
      <c r="A181" s="16" t="s">
        <v>140</v>
      </c>
      <c r="B181" s="16" t="s">
        <v>140</v>
      </c>
      <c r="C181" s="16" t="s">
        <v>140</v>
      </c>
      <c r="D181" s="16" t="s">
        <v>140</v>
      </c>
      <c r="E181" s="16" t="s">
        <v>140</v>
      </c>
      <c r="F181" s="16" t="s">
        <v>140</v>
      </c>
      <c r="M181" s="16" t="s">
        <v>140</v>
      </c>
      <c r="N181" s="16" t="s">
        <v>193</v>
      </c>
      <c r="O181" s="16" t="s">
        <v>140</v>
      </c>
      <c r="P181" s="16" t="s">
        <v>140</v>
      </c>
      <c r="Q181" s="16" t="s">
        <v>140</v>
      </c>
      <c r="R181" s="16" t="s">
        <v>140</v>
      </c>
      <c r="S181" s="16" t="s">
        <v>140</v>
      </c>
      <c r="T181" s="16" t="s">
        <v>193</v>
      </c>
      <c r="U181" s="16" t="s">
        <v>140</v>
      </c>
      <c r="V181" s="16" t="s">
        <v>140</v>
      </c>
      <c r="W181" s="16" t="s">
        <v>140</v>
      </c>
      <c r="X181" s="16" t="s">
        <v>140</v>
      </c>
      <c r="Y181" s="16" t="s">
        <v>140</v>
      </c>
      <c r="Z181" s="16" t="s">
        <v>193</v>
      </c>
      <c r="AA181" s="16" t="s">
        <v>140</v>
      </c>
      <c r="AB181" s="16" t="s">
        <v>140</v>
      </c>
      <c r="AC181" s="16" t="s">
        <v>140</v>
      </c>
      <c r="AD181" s="16" t="s">
        <v>140</v>
      </c>
      <c r="AE181" s="16" t="s">
        <v>140</v>
      </c>
      <c r="AF181" s="16" t="s">
        <v>193</v>
      </c>
      <c r="AG181" s="16" t="s">
        <v>140</v>
      </c>
      <c r="AH181" s="16" t="s">
        <v>140</v>
      </c>
      <c r="AI181" s="16" t="s">
        <v>140</v>
      </c>
      <c r="AJ181" s="16" t="s">
        <v>140</v>
      </c>
      <c r="AK181" s="16" t="s">
        <v>140</v>
      </c>
      <c r="AL181" s="9"/>
    </row>
    <row r="182" spans="1:38" s="8" customFormat="1" ht="12.75">
      <c r="A182" s="16"/>
      <c r="B182" s="16"/>
      <c r="C182" s="16"/>
      <c r="D182" s="16"/>
      <c r="E182" s="16"/>
      <c r="F182" s="16"/>
      <c r="M182" s="23" t="s">
        <v>104</v>
      </c>
      <c r="N182" s="23" t="s">
        <v>139</v>
      </c>
      <c r="O182" s="23" t="s">
        <v>106</v>
      </c>
      <c r="P182" s="23" t="s">
        <v>107</v>
      </c>
      <c r="Q182" s="8" t="s">
        <v>114</v>
      </c>
      <c r="R182" s="8" t="s">
        <v>104</v>
      </c>
      <c r="S182" s="8" t="s">
        <v>118</v>
      </c>
      <c r="T182" s="8" t="s">
        <v>121</v>
      </c>
      <c r="U182" s="8" t="s">
        <v>125</v>
      </c>
      <c r="V182" s="8" t="s">
        <v>126</v>
      </c>
      <c r="W182" s="8" t="s">
        <v>104</v>
      </c>
      <c r="X182" s="8" t="s">
        <v>139</v>
      </c>
      <c r="Y182" s="8" t="s">
        <v>67</v>
      </c>
      <c r="Z182" s="8" t="s">
        <v>68</v>
      </c>
      <c r="AA182" s="8" t="s">
        <v>69</v>
      </c>
      <c r="AB182" s="8" t="s">
        <v>74</v>
      </c>
      <c r="AC182" s="8" t="s">
        <v>73</v>
      </c>
      <c r="AD182" s="8" t="s">
        <v>70</v>
      </c>
      <c r="AE182" s="24" t="s">
        <v>75</v>
      </c>
      <c r="AF182" s="8" t="s">
        <v>71</v>
      </c>
      <c r="AG182" s="8" t="s">
        <v>72</v>
      </c>
      <c r="AH182" s="25" t="s">
        <v>76</v>
      </c>
      <c r="AI182" s="25" t="s">
        <v>77</v>
      </c>
      <c r="AJ182" s="24" t="s">
        <v>78</v>
      </c>
      <c r="AK182" s="24" t="s">
        <v>79</v>
      </c>
      <c r="AL182" s="9"/>
    </row>
    <row r="183" spans="1:38" s="8" customFormat="1" ht="12.75">
      <c r="A183" s="16" t="s">
        <v>193</v>
      </c>
      <c r="B183" s="26">
        <v>47</v>
      </c>
      <c r="C183" s="27">
        <v>2.2</v>
      </c>
      <c r="D183" s="18" t="s">
        <v>165</v>
      </c>
      <c r="E183" s="11">
        <f>TRUNC(W186)</f>
        <v>90</v>
      </c>
      <c r="F183" s="12">
        <f>ABS(W186-E183)*60</f>
        <v>47.49449937821737</v>
      </c>
      <c r="M183" s="23">
        <v>17</v>
      </c>
      <c r="N183" s="23">
        <v>51</v>
      </c>
      <c r="O183" s="23">
        <v>-0.00852</v>
      </c>
      <c r="P183" s="23">
        <v>-0.02305</v>
      </c>
      <c r="Q183" s="8">
        <f>COS(P186)*SIN(O186+$B$381)</f>
        <v>-0.6226098741652407</v>
      </c>
      <c r="R183" s="8">
        <f>DEGREES(ATAN2(Q184,Q183))+$C$381</f>
        <v>-90.78449126506204</v>
      </c>
      <c r="S183" s="8">
        <f>RADIANS(R184)</f>
        <v>4.698697024856221</v>
      </c>
      <c r="T183" s="8">
        <f>(COS($D$373)+SIN($D$373)*SIN(S183)*TAN(S186))*$A$370-COS(S183)*TAN(S186)*$A$373</f>
        <v>3.5358536623053084E-05</v>
      </c>
      <c r="U183" s="8">
        <f>COS(S183)*COS($D$394)*COS($D$373)+SIN(S183)*SIN($D$394)</f>
        <v>-0.9709268943615983</v>
      </c>
      <c r="V183" s="8">
        <f>COS($D$394)*COS($D$373)*(TAN($D$373)*COS(S186)-SIN(S183)*SIN(S186))+COS(S183)*SIN(S186)*SIN($D$394)</f>
        <v>-0.22970538563869525</v>
      </c>
      <c r="W183" s="8">
        <f>DEGREES(U186+T183+S183)</f>
        <v>269.20842501036304</v>
      </c>
      <c r="X183" s="8">
        <f>DEGREES(V186+T186+S186)</f>
        <v>51.48682670890572</v>
      </c>
      <c r="Y183" s="28">
        <f>V186+T186+S186</f>
        <v>0.8986146474741609</v>
      </c>
      <c r="Z183" s="8">
        <f>RADIANS(A185)</f>
        <v>0.20224466760306178</v>
      </c>
      <c r="AA183" s="8">
        <f>Z183+$K$2</f>
        <v>-1.8921504347901335</v>
      </c>
      <c r="AB183" s="8">
        <f>DEGREES(AA183)</f>
        <v>-108.41223411731833</v>
      </c>
      <c r="AC183" s="8">
        <f>AB183-INT(AB183/360)*360</f>
        <v>251.58776588268165</v>
      </c>
      <c r="AD183" s="28">
        <f>SIN(Y183)*SIN($J$2)+COS(Y183)*COS($J$2)*COS(AA183)</f>
        <v>-0.5615615981360578</v>
      </c>
      <c r="AE183" s="28">
        <f>ASIN(AD183)</f>
        <v>-0.5962718700536948</v>
      </c>
      <c r="AF183" s="28">
        <f>(SIN(Y183)-SIN($J$2)*AD183)/(COS($J$2)*COS(AE183))</f>
        <v>0.700109462622927</v>
      </c>
      <c r="AG183" s="8">
        <f>DEGREES(ACOS(AF183))</f>
        <v>45.56421313788205</v>
      </c>
      <c r="AH183" s="8">
        <f>IF(AC183&gt;180,AG183,360-AG183)</f>
        <v>45.56421313788205</v>
      </c>
      <c r="AI183" s="8">
        <f>DEGREES(AE183)</f>
        <v>-34.16386159644977</v>
      </c>
      <c r="AJ183" s="28">
        <f>$C$5-AI183</f>
        <v>101.02052826311643</v>
      </c>
      <c r="AK183" s="29">
        <f>$D$5-AH183</f>
        <v>182.33578686211797</v>
      </c>
      <c r="AL183" s="9">
        <f>AJ183*AJ183+AK183*AK183</f>
        <v>43451.486301186815</v>
      </c>
    </row>
    <row r="184" spans="1:38" s="8" customFormat="1" ht="12.75">
      <c r="A184" s="16" t="s">
        <v>137</v>
      </c>
      <c r="B184" s="16" t="s">
        <v>138</v>
      </c>
      <c r="C184" s="16" t="s">
        <v>135</v>
      </c>
      <c r="D184" s="16" t="s">
        <v>139</v>
      </c>
      <c r="E184" s="16" t="s">
        <v>138</v>
      </c>
      <c r="F184" s="16" t="s">
        <v>135</v>
      </c>
      <c r="M184" s="23">
        <v>56</v>
      </c>
      <c r="N184" s="23">
        <v>29</v>
      </c>
      <c r="O184" s="8" t="s">
        <v>110</v>
      </c>
      <c r="P184" s="8" t="s">
        <v>111</v>
      </c>
      <c r="Q184" s="8">
        <f>COS($F$381)*COS(P186)*COS(O186+$B$381)-SIN($F$381)*SIN(P186)</f>
        <v>-0.009291268772071471</v>
      </c>
      <c r="R184" s="8">
        <f>R183-360*INT(R183/360)</f>
        <v>269.21550873493794</v>
      </c>
      <c r="U184" s="8">
        <f>COS(S183)*COS($D$389)*COS($D$373)+SIN(S183)*SIN($D$389)</f>
        <v>0.9801229761801945</v>
      </c>
      <c r="V184" s="8">
        <f>COS($D$389)*COS($D$373)*(TAN($D$373)*COS(S186)-SIN(S183)*SIN(S186))+COS(S183)*SIN(S186)*SIN($D$389)</f>
        <v>0.1901047881252669</v>
      </c>
      <c r="AL184" s="9"/>
    </row>
    <row r="185" spans="1:38" s="8" customFormat="1" ht="12.75">
      <c r="A185" s="10">
        <f>($C$376+E183+F183/60)-INT(($C$376+E183+F183/60)/360)*360</f>
        <v>11.587765882681651</v>
      </c>
      <c r="B185" s="11">
        <f>TRUNC(A185)</f>
        <v>11</v>
      </c>
      <c r="C185" s="12">
        <f>(A185-B185)*60</f>
        <v>35.265952960899085</v>
      </c>
      <c r="D185" s="32" t="str">
        <f>IF(X183&gt;=0,"N","S")</f>
        <v>N</v>
      </c>
      <c r="E185" s="11">
        <f>ABS(TRUNC(X183))</f>
        <v>51</v>
      </c>
      <c r="F185" s="12">
        <f>ABS(X183-TRUNC(X183))*60</f>
        <v>29.20960253434302</v>
      </c>
      <c r="M185" s="30">
        <v>36.37</v>
      </c>
      <c r="N185" s="30">
        <v>20.02</v>
      </c>
      <c r="O185" s="31">
        <f>M186+O183/3600*$A$367</f>
        <v>269.15151563170843</v>
      </c>
      <c r="P185" s="31">
        <f>N186+P183/3600*$A$367</f>
        <v>51.4888240094928</v>
      </c>
      <c r="Q185" s="31">
        <f>SIN($F$381)*COS(P186)*COS(O186+$B$381)+COS($F$381)*SIN(P186)</f>
        <v>0.7824772309253146</v>
      </c>
      <c r="R185" s="31" t="s">
        <v>139</v>
      </c>
      <c r="S185" s="20" t="s">
        <v>119</v>
      </c>
      <c r="T185" s="20" t="s">
        <v>122</v>
      </c>
      <c r="U185" s="20" t="s">
        <v>121</v>
      </c>
      <c r="V185" s="20" t="s">
        <v>122</v>
      </c>
      <c r="W185" s="20" t="s">
        <v>130</v>
      </c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9"/>
    </row>
    <row r="186" spans="1:38" s="8" customFormat="1" ht="12.75">
      <c r="A186" s="16"/>
      <c r="B186" s="16"/>
      <c r="C186" s="16"/>
      <c r="D186" s="16"/>
      <c r="E186" s="16"/>
      <c r="F186" s="16"/>
      <c r="M186" s="24">
        <f>(M183+M184/60+M185/3600)*15</f>
        <v>269.1515416666667</v>
      </c>
      <c r="N186" s="24">
        <f>N183+N184/60+N185/3600</f>
        <v>51.48889444444445</v>
      </c>
      <c r="O186" s="8">
        <f>RADIANS(O185)</f>
        <v>4.697580134506298</v>
      </c>
      <c r="P186" s="8">
        <f>RADIANS(P185)</f>
        <v>0.8986495069455575</v>
      </c>
      <c r="R186" s="8">
        <f>DEGREES(ASIN(Q185))</f>
        <v>51.48795126860105</v>
      </c>
      <c r="S186" s="8">
        <f>RADIANS(R186)</f>
        <v>0.8986342747434797</v>
      </c>
      <c r="T186" s="8">
        <f>SIN($D$373)*COS(S183)*$A$370+SIN(S183)*$A$373</f>
        <v>-3.562269996574232E-07</v>
      </c>
      <c r="U186" s="22">
        <f>($A$394*U183-U184)*$V$18/COS(S186)</f>
        <v>-0.00015899285375946425</v>
      </c>
      <c r="V186" s="22">
        <f>($A$394*V183-V184)*$V$18</f>
        <v>-1.9271042319195995E-05</v>
      </c>
      <c r="W186" s="8">
        <f>360-W183</f>
        <v>90.79157498963696</v>
      </c>
      <c r="AL186" s="9"/>
    </row>
    <row r="187" spans="1:38" s="8" customFormat="1" ht="12.75">
      <c r="A187" s="16" t="s">
        <v>140</v>
      </c>
      <c r="B187" s="16" t="s">
        <v>140</v>
      </c>
      <c r="C187" s="16" t="s">
        <v>140</v>
      </c>
      <c r="D187" s="16" t="s">
        <v>140</v>
      </c>
      <c r="E187" s="16" t="s">
        <v>140</v>
      </c>
      <c r="F187" s="16" t="s">
        <v>140</v>
      </c>
      <c r="M187" s="16" t="s">
        <v>140</v>
      </c>
      <c r="N187" s="16" t="s">
        <v>194</v>
      </c>
      <c r="O187" s="16" t="s">
        <v>140</v>
      </c>
      <c r="P187" s="16" t="s">
        <v>140</v>
      </c>
      <c r="Q187" s="16" t="s">
        <v>140</v>
      </c>
      <c r="R187" s="16" t="s">
        <v>140</v>
      </c>
      <c r="S187" s="16" t="s">
        <v>140</v>
      </c>
      <c r="T187" s="16" t="s">
        <v>194</v>
      </c>
      <c r="U187" s="16" t="s">
        <v>140</v>
      </c>
      <c r="V187" s="16" t="s">
        <v>140</v>
      </c>
      <c r="W187" s="16" t="s">
        <v>140</v>
      </c>
      <c r="X187" s="16" t="s">
        <v>140</v>
      </c>
      <c r="Y187" s="16" t="s">
        <v>140</v>
      </c>
      <c r="Z187" s="16" t="s">
        <v>194</v>
      </c>
      <c r="AA187" s="16" t="s">
        <v>140</v>
      </c>
      <c r="AB187" s="16" t="s">
        <v>140</v>
      </c>
      <c r="AC187" s="16" t="s">
        <v>140</v>
      </c>
      <c r="AD187" s="16" t="s">
        <v>140</v>
      </c>
      <c r="AE187" s="16" t="s">
        <v>140</v>
      </c>
      <c r="AF187" s="16" t="s">
        <v>194</v>
      </c>
      <c r="AG187" s="16" t="s">
        <v>140</v>
      </c>
      <c r="AH187" s="16" t="s">
        <v>140</v>
      </c>
      <c r="AI187" s="16" t="s">
        <v>140</v>
      </c>
      <c r="AJ187" s="16" t="s">
        <v>140</v>
      </c>
      <c r="AK187" s="16" t="s">
        <v>140</v>
      </c>
      <c r="AL187" s="9"/>
    </row>
    <row r="188" spans="1:38" s="8" customFormat="1" ht="12.75">
      <c r="A188" s="16"/>
      <c r="B188" s="16"/>
      <c r="C188" s="16"/>
      <c r="D188" s="16"/>
      <c r="E188" s="16"/>
      <c r="F188" s="16"/>
      <c r="M188" s="23" t="s">
        <v>104</v>
      </c>
      <c r="N188" s="23" t="s">
        <v>139</v>
      </c>
      <c r="O188" s="23" t="s">
        <v>106</v>
      </c>
      <c r="P188" s="23" t="s">
        <v>107</v>
      </c>
      <c r="Q188" s="8" t="s">
        <v>114</v>
      </c>
      <c r="R188" s="8" t="s">
        <v>104</v>
      </c>
      <c r="S188" s="8" t="s">
        <v>118</v>
      </c>
      <c r="T188" s="8" t="s">
        <v>121</v>
      </c>
      <c r="U188" s="8" t="s">
        <v>125</v>
      </c>
      <c r="V188" s="8" t="s">
        <v>126</v>
      </c>
      <c r="W188" s="8" t="s">
        <v>104</v>
      </c>
      <c r="X188" s="8" t="s">
        <v>139</v>
      </c>
      <c r="Y188" s="8" t="s">
        <v>67</v>
      </c>
      <c r="Z188" s="8" t="s">
        <v>68</v>
      </c>
      <c r="AA188" s="8" t="s">
        <v>69</v>
      </c>
      <c r="AB188" s="8" t="s">
        <v>74</v>
      </c>
      <c r="AC188" s="8" t="s">
        <v>73</v>
      </c>
      <c r="AD188" s="8" t="s">
        <v>70</v>
      </c>
      <c r="AE188" s="24" t="s">
        <v>75</v>
      </c>
      <c r="AF188" s="8" t="s">
        <v>71</v>
      </c>
      <c r="AG188" s="8" t="s">
        <v>72</v>
      </c>
      <c r="AH188" s="25" t="s">
        <v>76</v>
      </c>
      <c r="AI188" s="25" t="s">
        <v>77</v>
      </c>
      <c r="AJ188" s="24" t="s">
        <v>78</v>
      </c>
      <c r="AK188" s="24" t="s">
        <v>79</v>
      </c>
      <c r="AL188" s="9"/>
    </row>
    <row r="189" spans="1:38" s="8" customFormat="1" ht="12.75">
      <c r="A189" s="16" t="s">
        <v>194</v>
      </c>
      <c r="B189" s="26">
        <v>54</v>
      </c>
      <c r="C189" s="27">
        <v>2.4</v>
      </c>
      <c r="D189" s="18" t="s">
        <v>165</v>
      </c>
      <c r="E189" s="11">
        <f>TRUNC(W192)</f>
        <v>33</v>
      </c>
      <c r="F189" s="12">
        <f>ABS(W192-E189)*60</f>
        <v>49.092804684466955</v>
      </c>
      <c r="M189" s="23">
        <v>21</v>
      </c>
      <c r="N189" s="23">
        <v>9</v>
      </c>
      <c r="O189" s="23">
        <v>0.03002</v>
      </c>
      <c r="P189" s="23">
        <v>0.00138</v>
      </c>
      <c r="Q189" s="8">
        <f>COS(P192)*SIN(O192+$B$381)</f>
        <v>-0.5492382186411893</v>
      </c>
      <c r="R189" s="8">
        <f>DEGREES(ATAN2(Q190,Q189))+$C$381</f>
        <v>-33.818427370558624</v>
      </c>
      <c r="S189" s="8">
        <f>RADIANS(R190)</f>
        <v>5.69294240171677</v>
      </c>
      <c r="T189" s="8">
        <f>(COS($D$373)+SIN($D$373)*SIN(S189)*TAN(S192))*$A$370-COS(S189)*TAN(S192)*$A$373</f>
        <v>7.440431742083293E-05</v>
      </c>
      <c r="U189" s="8">
        <f>COS(S189)*COS($D$394)*COS($D$373)+SIN(S189)*SIN($D$394)</f>
        <v>-0.7151305259189366</v>
      </c>
      <c r="V189" s="8">
        <f>COS($D$394)*COS($D$373)*(TAN($D$373)*COS(S192)-SIN(S189)*SIN(S192))+COS(S189)*SIN(S192)*SIN($D$394)</f>
        <v>0.030498680725545416</v>
      </c>
      <c r="W189" s="8">
        <f>DEGREES(U192+T189+S189)</f>
        <v>326.1817865885922</v>
      </c>
      <c r="X189" s="8">
        <f>DEGREES(V192+T192+S192)</f>
        <v>9.927760051391967</v>
      </c>
      <c r="Y189" s="28">
        <f>V192+T192+S192</f>
        <v>0.1732721002447513</v>
      </c>
      <c r="Z189" s="8">
        <f>RADIANS(A191)</f>
        <v>5.491057229313316</v>
      </c>
      <c r="AA189" s="8">
        <f>Z189+$K$2</f>
        <v>3.396662126920121</v>
      </c>
      <c r="AB189" s="8">
        <f>DEGREES(AA189)</f>
        <v>194.6144043044525</v>
      </c>
      <c r="AC189" s="8">
        <f>AB189-INT(AB189/360)*360</f>
        <v>194.6144043044525</v>
      </c>
      <c r="AD189" s="28">
        <f>SIN(Y189)*SIN($J$2)+COS(Y189)*COS($J$2)*COS(AA189)</f>
        <v>-0.9116606283166163</v>
      </c>
      <c r="AE189" s="28">
        <f>ASIN(AD189)</f>
        <v>-1.1473071294542305</v>
      </c>
      <c r="AF189" s="28">
        <f>(SIN(Y189)-SIN($J$2)*AD189)/(COS($J$2)*COS(AE189))</f>
        <v>-0.7963855203465743</v>
      </c>
      <c r="AG189" s="8">
        <f>DEGREES(ACOS(AF189))</f>
        <v>142.78631808056593</v>
      </c>
      <c r="AH189" s="8">
        <f>IF(AC189&gt;180,AG189,360-AG189)</f>
        <v>142.78631808056593</v>
      </c>
      <c r="AI189" s="8">
        <f>DEGREES(AE189)</f>
        <v>-65.735856322997</v>
      </c>
      <c r="AJ189" s="28">
        <f>$C$5-AI189</f>
        <v>132.59252298966368</v>
      </c>
      <c r="AK189" s="29">
        <f>$D$5-AH189</f>
        <v>85.11368191943407</v>
      </c>
      <c r="AL189" s="9">
        <f>AJ189*AJ189+AK189*AK189</f>
        <v>24825.11600264709</v>
      </c>
    </row>
    <row r="190" spans="1:38" s="8" customFormat="1" ht="12.75">
      <c r="A190" s="16" t="s">
        <v>137</v>
      </c>
      <c r="B190" s="16" t="s">
        <v>138</v>
      </c>
      <c r="C190" s="16" t="s">
        <v>135</v>
      </c>
      <c r="D190" s="16" t="s">
        <v>139</v>
      </c>
      <c r="E190" s="16" t="s">
        <v>138</v>
      </c>
      <c r="F190" s="16" t="s">
        <v>135</v>
      </c>
      <c r="M190" s="23">
        <v>44</v>
      </c>
      <c r="N190" s="23">
        <v>52</v>
      </c>
      <c r="O190" s="8" t="s">
        <v>110</v>
      </c>
      <c r="P190" s="8" t="s">
        <v>111</v>
      </c>
      <c r="Q190" s="8">
        <f>COS($F$381)*COS(P192)*COS(O192+$B$381)-SIN($F$381)*SIN(P192)</f>
        <v>0.8176947457370938</v>
      </c>
      <c r="R190" s="8">
        <f>R189-360*INT(R189/360)</f>
        <v>326.18157262944135</v>
      </c>
      <c r="U190" s="8">
        <f>COS(S189)*COS($D$389)*COS($D$373)+SIN(S189)*SIN($D$389)</f>
        <v>0.6886245878636792</v>
      </c>
      <c r="V190" s="8">
        <f>COS($D$389)*COS($D$373)*(TAN($D$373)*COS(S192)-SIN(S189)*SIN(S192))+COS(S189)*SIN(S192)*SIN($D$389)</f>
        <v>-0.051467747154149396</v>
      </c>
      <c r="AL190" s="9"/>
    </row>
    <row r="191" spans="1:38" s="8" customFormat="1" ht="12.75">
      <c r="A191" s="10">
        <f>($C$376+E189+F189/60)-INT(($C$376+E189+F189/60)/360)*360</f>
        <v>314.6144043044525</v>
      </c>
      <c r="B191" s="11">
        <f>TRUNC(A191)</f>
        <v>314</v>
      </c>
      <c r="C191" s="12">
        <f>(A191-B191)*60</f>
        <v>36.86425826714867</v>
      </c>
      <c r="D191" s="32" t="str">
        <f>IF(X189&gt;=0,"N","S")</f>
        <v>N</v>
      </c>
      <c r="E191" s="11">
        <f>ABS(TRUNC(X189))</f>
        <v>9</v>
      </c>
      <c r="F191" s="12">
        <f>ABS(X189-TRUNC(X189))*60</f>
        <v>55.665603083518036</v>
      </c>
      <c r="M191" s="30">
        <v>11.158</v>
      </c>
      <c r="N191" s="30">
        <v>30.04</v>
      </c>
      <c r="O191" s="31">
        <f>M192+O189/3600*$A$367</f>
        <v>326.0465834001698</v>
      </c>
      <c r="P191" s="31">
        <f>N192+P189/3600*$A$367</f>
        <v>9.875015328040972</v>
      </c>
      <c r="Q191" s="31">
        <f>SIN($F$381)*COS(P192)*COS(O192+$B$381)+COS($F$381)*SIN(P192)</f>
        <v>0.17237366961865916</v>
      </c>
      <c r="R191" s="31" t="s">
        <v>139</v>
      </c>
      <c r="S191" s="20" t="s">
        <v>119</v>
      </c>
      <c r="T191" s="20" t="s">
        <v>122</v>
      </c>
      <c r="U191" s="20" t="s">
        <v>121</v>
      </c>
      <c r="V191" s="20" t="s">
        <v>122</v>
      </c>
      <c r="W191" s="20" t="s">
        <v>130</v>
      </c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9"/>
    </row>
    <row r="192" spans="1:38" s="8" customFormat="1" ht="12.75">
      <c r="A192" s="16"/>
      <c r="B192" s="16"/>
      <c r="C192" s="16"/>
      <c r="D192" s="16"/>
      <c r="E192" s="16"/>
      <c r="F192" s="16"/>
      <c r="M192" s="24">
        <f>(M189+M190/60+M191/3600)*15</f>
        <v>326.04649166666667</v>
      </c>
      <c r="N192" s="24">
        <f>N189+N190/60+N191/3600</f>
        <v>9.875011111111112</v>
      </c>
      <c r="O192" s="8">
        <f>RADIANS(O191)</f>
        <v>5.690586395211252</v>
      </c>
      <c r="P192" s="8">
        <f>RADIANS(P191)</f>
        <v>0.1723515311592229</v>
      </c>
      <c r="R192" s="8">
        <f>DEGREES(ASIN(Q191))</f>
        <v>9.92585799385485</v>
      </c>
      <c r="S192" s="8">
        <f>RADIANS(R192)</f>
        <v>0.17323890307816622</v>
      </c>
      <c r="T192" s="8">
        <f>SIN($D$373)*COS(S189)*$A$370+SIN(S189)*$A$373</f>
        <v>2.803244795223903E-05</v>
      </c>
      <c r="U192" s="22">
        <f>($A$394*U189-U190)*$V$18/COS(S192)</f>
        <v>-7.06700257734896E-05</v>
      </c>
      <c r="V192" s="22">
        <f>($A$394*V189-V190)*$V$18</f>
        <v>5.164718632837619E-06</v>
      </c>
      <c r="W192" s="8">
        <f>360-W189</f>
        <v>33.81821341140778</v>
      </c>
      <c r="AL192" s="9"/>
    </row>
    <row r="193" spans="1:38" s="8" customFormat="1" ht="12.75">
      <c r="A193" s="16" t="s">
        <v>140</v>
      </c>
      <c r="B193" s="16" t="s">
        <v>140</v>
      </c>
      <c r="C193" s="16" t="s">
        <v>140</v>
      </c>
      <c r="D193" s="16" t="s">
        <v>140</v>
      </c>
      <c r="E193" s="16" t="s">
        <v>140</v>
      </c>
      <c r="F193" s="16" t="s">
        <v>140</v>
      </c>
      <c r="M193" s="16" t="s">
        <v>140</v>
      </c>
      <c r="N193" s="16" t="s">
        <v>195</v>
      </c>
      <c r="O193" s="16" t="s">
        <v>140</v>
      </c>
      <c r="P193" s="16" t="s">
        <v>140</v>
      </c>
      <c r="Q193" s="16" t="s">
        <v>140</v>
      </c>
      <c r="R193" s="16" t="s">
        <v>140</v>
      </c>
      <c r="S193" s="16" t="s">
        <v>140</v>
      </c>
      <c r="T193" s="16" t="s">
        <v>195</v>
      </c>
      <c r="U193" s="16" t="s">
        <v>140</v>
      </c>
      <c r="V193" s="16" t="s">
        <v>140</v>
      </c>
      <c r="W193" s="16" t="s">
        <v>140</v>
      </c>
      <c r="X193" s="16" t="s">
        <v>140</v>
      </c>
      <c r="Y193" s="16" t="s">
        <v>140</v>
      </c>
      <c r="Z193" s="16" t="s">
        <v>195</v>
      </c>
      <c r="AA193" s="16" t="s">
        <v>140</v>
      </c>
      <c r="AB193" s="16" t="s">
        <v>140</v>
      </c>
      <c r="AC193" s="16" t="s">
        <v>140</v>
      </c>
      <c r="AD193" s="16" t="s">
        <v>140</v>
      </c>
      <c r="AE193" s="16" t="s">
        <v>140</v>
      </c>
      <c r="AF193" s="16" t="s">
        <v>195</v>
      </c>
      <c r="AG193" s="16" t="s">
        <v>140</v>
      </c>
      <c r="AH193" s="16" t="s">
        <v>140</v>
      </c>
      <c r="AI193" s="16" t="s">
        <v>140</v>
      </c>
      <c r="AJ193" s="16" t="s">
        <v>140</v>
      </c>
      <c r="AK193" s="16" t="s">
        <v>140</v>
      </c>
      <c r="AL193" s="9"/>
    </row>
    <row r="194" spans="1:38" s="8" customFormat="1" ht="12.75">
      <c r="A194" s="16"/>
      <c r="B194" s="16"/>
      <c r="C194" s="16"/>
      <c r="D194" s="16"/>
      <c r="E194" s="16"/>
      <c r="F194" s="16"/>
      <c r="M194" s="23" t="s">
        <v>104</v>
      </c>
      <c r="N194" s="23" t="s">
        <v>139</v>
      </c>
      <c r="O194" s="23" t="s">
        <v>106</v>
      </c>
      <c r="P194" s="23" t="s">
        <v>107</v>
      </c>
      <c r="Q194" s="8" t="s">
        <v>114</v>
      </c>
      <c r="R194" s="8" t="s">
        <v>104</v>
      </c>
      <c r="S194" s="8" t="s">
        <v>118</v>
      </c>
      <c r="T194" s="8" t="s">
        <v>121</v>
      </c>
      <c r="U194" s="8" t="s">
        <v>125</v>
      </c>
      <c r="V194" s="8" t="s">
        <v>126</v>
      </c>
      <c r="W194" s="8" t="s">
        <v>104</v>
      </c>
      <c r="X194" s="8" t="s">
        <v>139</v>
      </c>
      <c r="Y194" s="8" t="s">
        <v>67</v>
      </c>
      <c r="Z194" s="8" t="s">
        <v>68</v>
      </c>
      <c r="AA194" s="8" t="s">
        <v>69</v>
      </c>
      <c r="AB194" s="8" t="s">
        <v>74</v>
      </c>
      <c r="AC194" s="8" t="s">
        <v>73</v>
      </c>
      <c r="AD194" s="8" t="s">
        <v>70</v>
      </c>
      <c r="AE194" s="24" t="s">
        <v>75</v>
      </c>
      <c r="AF194" s="8" t="s">
        <v>71</v>
      </c>
      <c r="AG194" s="8" t="s">
        <v>72</v>
      </c>
      <c r="AH194" s="25" t="s">
        <v>76</v>
      </c>
      <c r="AI194" s="25" t="s">
        <v>77</v>
      </c>
      <c r="AJ194" s="24" t="s">
        <v>78</v>
      </c>
      <c r="AK194" s="24" t="s">
        <v>79</v>
      </c>
      <c r="AL194" s="9"/>
    </row>
    <row r="195" spans="1:38" s="8" customFormat="1" ht="12.75">
      <c r="A195" s="16" t="s">
        <v>195</v>
      </c>
      <c r="B195" s="26">
        <v>56</v>
      </c>
      <c r="C195" s="27">
        <v>1.2</v>
      </c>
      <c r="D195" s="18" t="s">
        <v>165</v>
      </c>
      <c r="E195" s="11">
        <f>TRUNC(W198)</f>
        <v>15</v>
      </c>
      <c r="F195" s="12">
        <f>ABS(W198-E195)*60</f>
        <v>26.048876526751883</v>
      </c>
      <c r="M195" s="23">
        <v>22</v>
      </c>
      <c r="N195" s="23">
        <v>-29</v>
      </c>
      <c r="O195" s="23">
        <v>0.32922</v>
      </c>
      <c r="P195" s="23">
        <v>-0.16421</v>
      </c>
      <c r="Q195" s="8">
        <f>COS(P198)*SIN(O198+$B$381)</f>
        <v>-0.23254136738832779</v>
      </c>
      <c r="R195" s="8">
        <f>DEGREES(ATAN2(Q196,Q195))+$C$381</f>
        <v>-15.436047329208805</v>
      </c>
      <c r="S195" s="8">
        <f>RADIANS(R196)</f>
        <v>6.0137754577912155</v>
      </c>
      <c r="T195" s="8">
        <f>(COS($D$373)+SIN($D$373)*SIN(S195)*TAN(S198))*$A$370-COS(S195)*TAN(S198)*$A$373</f>
        <v>8.26947803389575E-05</v>
      </c>
      <c r="U195" s="8">
        <f>COS(S195)*COS($D$394)*COS($D$373)+SIN(S195)*SIN($D$394)</f>
        <v>-0.4600561537706843</v>
      </c>
      <c r="V195" s="8">
        <f>COS($D$394)*COS($D$373)*(TAN($D$373)*COS(S198)-SIN(S195)*SIN(S198))+COS(S195)*SIN(S198)*SIN($D$394)</f>
        <v>-0.514374396098938</v>
      </c>
      <c r="W195" s="8">
        <f>DEGREES(U198+T195+S195)</f>
        <v>344.56585205788747</v>
      </c>
      <c r="X195" s="8">
        <f>DEGREES(V198+T198+S198)</f>
        <v>-29.56481020480777</v>
      </c>
      <c r="Y195" s="28">
        <f>V198+T198+S198</f>
        <v>-0.5160032808011147</v>
      </c>
      <c r="Z195" s="8">
        <f>RADIANS(A197)</f>
        <v>5.1701947569719175</v>
      </c>
      <c r="AA195" s="8">
        <f>Z195+$K$2</f>
        <v>3.0757996545787223</v>
      </c>
      <c r="AB195" s="8">
        <f>DEGREES(AA195)</f>
        <v>176.23033883515726</v>
      </c>
      <c r="AC195" s="8">
        <f>AB195-INT(AB195/360)*360</f>
        <v>176.23033883515726</v>
      </c>
      <c r="AD195" s="28">
        <f>SIN(Y195)*SIN($J$2)+COS(Y195)*COS($J$2)*COS(AA195)</f>
        <v>-0.5049336523199</v>
      </c>
      <c r="AE195" s="28">
        <f>ASIN(AD195)</f>
        <v>-0.5293050974020801</v>
      </c>
      <c r="AF195" s="28">
        <f>(SIN(Y195)-SIN($J$2)*AD195)/(COS($J$2)*COS(AE195))</f>
        <v>-0.9978029691335784</v>
      </c>
      <c r="AG195" s="8">
        <f>DEGREES(ACOS(AF195))</f>
        <v>176.20129774389852</v>
      </c>
      <c r="AH195" s="8">
        <f>IF(AC195&gt;180,AG195,360-AG195)</f>
        <v>183.79870225610148</v>
      </c>
      <c r="AI195" s="8">
        <f>DEGREES(AE195)</f>
        <v>-30.326948155900144</v>
      </c>
      <c r="AJ195" s="28">
        <f>$C$5-AI195</f>
        <v>97.18361482256681</v>
      </c>
      <c r="AK195" s="29">
        <f>$D$5-AH195</f>
        <v>44.10129774389853</v>
      </c>
      <c r="AL195" s="9">
        <f>AJ195*AJ195+AK195*AK195</f>
        <v>11389.579452677017</v>
      </c>
    </row>
    <row r="196" spans="1:38" s="8" customFormat="1" ht="12.75">
      <c r="A196" s="16" t="s">
        <v>137</v>
      </c>
      <c r="B196" s="16" t="s">
        <v>138</v>
      </c>
      <c r="C196" s="16" t="s">
        <v>135</v>
      </c>
      <c r="D196" s="16" t="s">
        <v>139</v>
      </c>
      <c r="E196" s="16" t="s">
        <v>138</v>
      </c>
      <c r="F196" s="16" t="s">
        <v>135</v>
      </c>
      <c r="M196" s="23">
        <v>57</v>
      </c>
      <c r="N196" s="23">
        <v>-37</v>
      </c>
      <c r="O196" s="8" t="s">
        <v>110</v>
      </c>
      <c r="P196" s="8" t="s">
        <v>111</v>
      </c>
      <c r="Q196" s="8">
        <f>COS($F$381)*COS(P198)*COS(O198+$B$381)-SIN($F$381)*SIN(P198)</f>
        <v>0.838146519091122</v>
      </c>
      <c r="R196" s="8">
        <f>R195-360*INT(R195/360)</f>
        <v>344.5639526707912</v>
      </c>
      <c r="U196" s="8">
        <f>COS(S195)*COS($D$389)*COS($D$373)+SIN(S195)*SIN($D$389)</f>
        <v>0.42600815295132266</v>
      </c>
      <c r="V196" s="8">
        <f>COS($D$389)*COS($D$373)*(TAN($D$373)*COS(S198)-SIN(S195)*SIN(S198))+COS(S195)*SIN(S198)*SIN($D$389)</f>
        <v>0.5092329657458712</v>
      </c>
      <c r="AL196" s="9"/>
    </row>
    <row r="197" spans="1:38" s="8" customFormat="1" ht="12.75">
      <c r="A197" s="10">
        <f>($C$376+E195+F195/60)-INT(($C$376+E195+F195/60)/360)*360</f>
        <v>296.2303388351572</v>
      </c>
      <c r="B197" s="11">
        <f>TRUNC(A197)</f>
        <v>296</v>
      </c>
      <c r="C197" s="12">
        <f>(A197-B197)*60</f>
        <v>13.820330109433598</v>
      </c>
      <c r="D197" s="32" t="str">
        <f>IF(X195&gt;=0,"N","S")</f>
        <v>S</v>
      </c>
      <c r="E197" s="11">
        <f>ABS(TRUNC(X195))</f>
        <v>29</v>
      </c>
      <c r="F197" s="12">
        <f>ABS(X195-TRUNC(X195))*60</f>
        <v>33.88861228846622</v>
      </c>
      <c r="M197" s="30">
        <v>39.047</v>
      </c>
      <c r="N197" s="30">
        <v>-20.05</v>
      </c>
      <c r="O197" s="31">
        <f>M198+O195/3600*$A$367</f>
        <v>344.413701846122</v>
      </c>
      <c r="P197" s="31">
        <f>N198+P195/3600*$A$367</f>
        <v>-29.622737895206967</v>
      </c>
      <c r="Q197" s="31">
        <f>SIN($F$381)*COS(P198)*COS(O198+$B$381)+COS($F$381)*SIN(P198)</f>
        <v>-0.49339124940416407</v>
      </c>
      <c r="R197" s="31" t="s">
        <v>139</v>
      </c>
      <c r="S197" s="20" t="s">
        <v>119</v>
      </c>
      <c r="T197" s="20" t="s">
        <v>122</v>
      </c>
      <c r="U197" s="20" t="s">
        <v>121</v>
      </c>
      <c r="V197" s="20" t="s">
        <v>122</v>
      </c>
      <c r="W197" s="20" t="s">
        <v>130</v>
      </c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9"/>
    </row>
    <row r="198" spans="1:38" s="8" customFormat="1" ht="12.75">
      <c r="A198" s="16"/>
      <c r="B198" s="16"/>
      <c r="C198" s="16"/>
      <c r="D198" s="16"/>
      <c r="E198" s="16"/>
      <c r="F198" s="16"/>
      <c r="M198" s="24">
        <f>(M195+M196/60+M197/3600)*15</f>
        <v>344.4126958333333</v>
      </c>
      <c r="N198" s="24">
        <f>N195+N196/60+N197/3600</f>
        <v>-29.62223611111111</v>
      </c>
      <c r="O198" s="8">
        <f>RADIANS(O197)</f>
        <v>6.011153086196902</v>
      </c>
      <c r="P198" s="8">
        <f>RADIANS(P197)</f>
        <v>-0.5170143097266565</v>
      </c>
      <c r="R198" s="8">
        <f>DEGREES(ASIN(Q197))</f>
        <v>-29.56372334209194</v>
      </c>
      <c r="S198" s="8">
        <f>RADIANS(R198)</f>
        <v>-0.5159843114682062</v>
      </c>
      <c r="T198" s="8">
        <f>SIN($D$373)*COS(S195)*$A$370+SIN(S195)*$A$373</f>
        <v>3.2484400150699416E-05</v>
      </c>
      <c r="U198" s="22">
        <f>($A$394*U195-U196)*$V$18/COS(S198)</f>
        <v>-4.954422173845273E-05</v>
      </c>
      <c r="V198" s="22">
        <f>($A$394*V195-V196)*$V$18</f>
        <v>-5.145373305912742E-05</v>
      </c>
      <c r="W198" s="8">
        <f>360-W195</f>
        <v>15.434147942112531</v>
      </c>
      <c r="AL198" s="9"/>
    </row>
    <row r="199" spans="1:38" s="8" customFormat="1" ht="12.75">
      <c r="A199" s="16" t="s">
        <v>140</v>
      </c>
      <c r="B199" s="16" t="s">
        <v>140</v>
      </c>
      <c r="C199" s="16" t="s">
        <v>140</v>
      </c>
      <c r="D199" s="16" t="s">
        <v>140</v>
      </c>
      <c r="E199" s="16" t="s">
        <v>140</v>
      </c>
      <c r="F199" s="16" t="s">
        <v>140</v>
      </c>
      <c r="M199" s="16" t="s">
        <v>140</v>
      </c>
      <c r="N199" s="16" t="s">
        <v>196</v>
      </c>
      <c r="O199" s="16" t="s">
        <v>140</v>
      </c>
      <c r="P199" s="16" t="s">
        <v>140</v>
      </c>
      <c r="Q199" s="16" t="s">
        <v>140</v>
      </c>
      <c r="R199" s="16" t="s">
        <v>140</v>
      </c>
      <c r="S199" s="16" t="s">
        <v>140</v>
      </c>
      <c r="T199" s="16" t="s">
        <v>196</v>
      </c>
      <c r="U199" s="16" t="s">
        <v>140</v>
      </c>
      <c r="V199" s="16" t="s">
        <v>140</v>
      </c>
      <c r="W199" s="16" t="s">
        <v>140</v>
      </c>
      <c r="X199" s="16" t="s">
        <v>140</v>
      </c>
      <c r="Y199" s="16" t="s">
        <v>140</v>
      </c>
      <c r="Z199" s="16" t="s">
        <v>196</v>
      </c>
      <c r="AA199" s="16" t="s">
        <v>140</v>
      </c>
      <c r="AB199" s="16" t="s">
        <v>140</v>
      </c>
      <c r="AC199" s="16" t="s">
        <v>140</v>
      </c>
      <c r="AD199" s="16" t="s">
        <v>140</v>
      </c>
      <c r="AE199" s="16" t="s">
        <v>140</v>
      </c>
      <c r="AF199" s="16" t="s">
        <v>196</v>
      </c>
      <c r="AG199" s="16" t="s">
        <v>140</v>
      </c>
      <c r="AH199" s="16" t="s">
        <v>140</v>
      </c>
      <c r="AI199" s="16" t="s">
        <v>140</v>
      </c>
      <c r="AJ199" s="16" t="s">
        <v>140</v>
      </c>
      <c r="AK199" s="16" t="s">
        <v>140</v>
      </c>
      <c r="AL199" s="9"/>
    </row>
    <row r="200" spans="1:38" s="8" customFormat="1" ht="12.75">
      <c r="A200" s="16"/>
      <c r="B200" s="16"/>
      <c r="C200" s="16"/>
      <c r="D200" s="16"/>
      <c r="E200" s="16"/>
      <c r="F200" s="16"/>
      <c r="M200" s="23" t="s">
        <v>104</v>
      </c>
      <c r="N200" s="23" t="s">
        <v>139</v>
      </c>
      <c r="O200" s="23" t="s">
        <v>106</v>
      </c>
      <c r="P200" s="23" t="s">
        <v>107</v>
      </c>
      <c r="Q200" s="8" t="s">
        <v>114</v>
      </c>
      <c r="R200" s="8" t="s">
        <v>104</v>
      </c>
      <c r="S200" s="8" t="s">
        <v>118</v>
      </c>
      <c r="T200" s="8" t="s">
        <v>121</v>
      </c>
      <c r="U200" s="8" t="s">
        <v>125</v>
      </c>
      <c r="V200" s="8" t="s">
        <v>126</v>
      </c>
      <c r="W200" s="8" t="s">
        <v>104</v>
      </c>
      <c r="X200" s="8" t="s">
        <v>139</v>
      </c>
      <c r="Y200" s="8" t="s">
        <v>67</v>
      </c>
      <c r="Z200" s="8" t="s">
        <v>68</v>
      </c>
      <c r="AA200" s="8" t="s">
        <v>69</v>
      </c>
      <c r="AB200" s="8" t="s">
        <v>74</v>
      </c>
      <c r="AC200" s="8" t="s">
        <v>73</v>
      </c>
      <c r="AD200" s="8" t="s">
        <v>70</v>
      </c>
      <c r="AE200" s="24" t="s">
        <v>75</v>
      </c>
      <c r="AF200" s="8" t="s">
        <v>71</v>
      </c>
      <c r="AG200" s="8" t="s">
        <v>72</v>
      </c>
      <c r="AH200" s="25" t="s">
        <v>76</v>
      </c>
      <c r="AI200" s="25" t="s">
        <v>77</v>
      </c>
      <c r="AJ200" s="24" t="s">
        <v>78</v>
      </c>
      <c r="AK200" s="24" t="s">
        <v>79</v>
      </c>
      <c r="AL200" s="9"/>
    </row>
    <row r="201" spans="1:38" s="8" customFormat="1" ht="12.75">
      <c r="A201" s="16" t="s">
        <v>196</v>
      </c>
      <c r="B201" s="26">
        <v>31</v>
      </c>
      <c r="C201" s="27">
        <v>1.6</v>
      </c>
      <c r="D201" s="18" t="s">
        <v>165</v>
      </c>
      <c r="E201" s="11">
        <f>TRUNC(W204)</f>
        <v>172</v>
      </c>
      <c r="F201" s="12">
        <f>ABS(W204-E201)*60</f>
        <v>2.955203179362229</v>
      </c>
      <c r="M201" s="23">
        <v>12</v>
      </c>
      <c r="N201" s="23">
        <v>-57</v>
      </c>
      <c r="O201" s="23">
        <v>0.02794</v>
      </c>
      <c r="P201" s="23">
        <v>-0.26433</v>
      </c>
      <c r="Q201" s="8">
        <f>COS(P204)*SIN(O204+$B$381)</f>
        <v>-0.07427192900953168</v>
      </c>
      <c r="R201" s="8">
        <f>DEGREES(ATAN2(Q202,Q201))+$C$381</f>
        <v>-172.05448722055374</v>
      </c>
      <c r="S201" s="8">
        <f>RADIANS(R202)</f>
        <v>3.2802680123504167</v>
      </c>
      <c r="T201" s="8">
        <f>(COS($D$373)+SIN($D$373)*SIN(S201)*TAN(S204))*$A$370-COS(S201)*TAN(S204)*$A$373</f>
        <v>8.504456276146183E-05</v>
      </c>
      <c r="U201" s="8">
        <f>COS(S201)*COS($D$394)*COS($D$373)+SIN(S201)*SIN($D$394)</f>
        <v>0.07174441135393567</v>
      </c>
      <c r="V201" s="8">
        <f>COS($D$394)*COS($D$373)*(TAN($D$373)*COS(S204)-SIN(S201)*SIN(S204))+COS(S201)*SIN(S204)*SIN($D$394)</f>
        <v>0.7857509683214123</v>
      </c>
      <c r="W201" s="8">
        <f>DEGREES(U204+T201+S201)</f>
        <v>187.9507466136773</v>
      </c>
      <c r="X201" s="8">
        <f>DEGREES(V204+T204+S204)</f>
        <v>-57.171982453367306</v>
      </c>
      <c r="Y201" s="28">
        <f>V204+T204+S204</f>
        <v>-0.9978393337036849</v>
      </c>
      <c r="Z201" s="8">
        <f>RADIANS(A203)</f>
        <v>1.6204586981518945</v>
      </c>
      <c r="AA201" s="8">
        <f>Z201+$K$2</f>
        <v>-0.4739364042413008</v>
      </c>
      <c r="AB201" s="8">
        <f>DEGREES(AA201)</f>
        <v>-27.154555720632622</v>
      </c>
      <c r="AC201" s="8">
        <f>AB201-INT(AB201/360)*360</f>
        <v>332.84544427936737</v>
      </c>
      <c r="AD201" s="28">
        <f>SIN(Y201)*SIN($J$2)+COS(Y201)*COS($J$2)*COS(AA201)</f>
        <v>0.8378920737499452</v>
      </c>
      <c r="AE201" s="28">
        <f>ASIN(AD201)</f>
        <v>0.993409866339059</v>
      </c>
      <c r="AF201" s="28">
        <f>(SIN(Y201)-SIN($J$2)*AD201)/(COS($J$2)*COS(AE201))</f>
        <v>-0.8913658305103878</v>
      </c>
      <c r="AG201" s="8">
        <f>DEGREES(ACOS(AF201))</f>
        <v>153.04538145936755</v>
      </c>
      <c r="AH201" s="8">
        <f>IF(AC201&gt;180,AG201,360-AG201)</f>
        <v>153.04538145936755</v>
      </c>
      <c r="AI201" s="8">
        <f>DEGREES(AE201)</f>
        <v>56.918192667883304</v>
      </c>
      <c r="AJ201" s="28">
        <f>$C$5-AI201</f>
        <v>9.938473998783365</v>
      </c>
      <c r="AK201" s="29">
        <f>$D$5-AH201</f>
        <v>74.85461854063246</v>
      </c>
      <c r="AL201" s="9">
        <f>AJ201*AJ201+AK201*AK201</f>
        <v>5701.98718228809</v>
      </c>
    </row>
    <row r="202" spans="1:38" s="8" customFormat="1" ht="12.75">
      <c r="A202" s="16" t="s">
        <v>137</v>
      </c>
      <c r="B202" s="16" t="s">
        <v>138</v>
      </c>
      <c r="C202" s="16" t="s">
        <v>135</v>
      </c>
      <c r="D202" s="16" t="s">
        <v>139</v>
      </c>
      <c r="E202" s="16" t="s">
        <v>138</v>
      </c>
      <c r="F202" s="16" t="s">
        <v>135</v>
      </c>
      <c r="M202" s="23">
        <v>31</v>
      </c>
      <c r="N202" s="23">
        <v>-6</v>
      </c>
      <c r="O202" s="8" t="s">
        <v>110</v>
      </c>
      <c r="P202" s="8" t="s">
        <v>111</v>
      </c>
      <c r="Q202" s="8">
        <f>COS($F$381)*COS(P204)*COS(O204+$B$381)-SIN($F$381)*SIN(P204)</f>
        <v>-0.5369672945796421</v>
      </c>
      <c r="R202" s="8">
        <f>R201-360*INT(R201/360)</f>
        <v>187.94551277944626</v>
      </c>
      <c r="U202" s="8">
        <f>COS(S201)*COS($D$389)*COS($D$373)+SIN(S201)*SIN($D$389)</f>
        <v>-0.033187592021238554</v>
      </c>
      <c r="V202" s="8">
        <f>COS($D$389)*COS($D$373)*(TAN($D$373)*COS(S204)-SIN(S201)*SIN(S204))+COS(S201)*SIN(S204)*SIN($D$389)</f>
        <v>-0.7974580710896887</v>
      </c>
      <c r="AL202" s="9"/>
    </row>
    <row r="203" spans="1:38" s="8" customFormat="1" ht="12.75">
      <c r="A203" s="10">
        <f>($C$376+E201+F201/60)-INT(($C$376+E201+F201/60)/360)*360</f>
        <v>92.84544427936737</v>
      </c>
      <c r="B203" s="11">
        <f>TRUNC(A203)</f>
        <v>92</v>
      </c>
      <c r="C203" s="12">
        <f>(A203-B203)*60</f>
        <v>50.72665676204224</v>
      </c>
      <c r="D203" s="32" t="str">
        <f>IF(X201&gt;=0,"N","S")</f>
        <v>S</v>
      </c>
      <c r="E203" s="11">
        <f>ABS(TRUNC(X201))</f>
        <v>57</v>
      </c>
      <c r="F203" s="12">
        <f>ABS(X201-TRUNC(X201))*60</f>
        <v>10.318947202038373</v>
      </c>
      <c r="M203" s="30">
        <v>9.959</v>
      </c>
      <c r="N203" s="30">
        <v>-47.56</v>
      </c>
      <c r="O203" s="31">
        <f>M204+O201/3600*$A$367</f>
        <v>187.79158121088426</v>
      </c>
      <c r="P203" s="31">
        <f>N204+P201/3600*$A$367</f>
        <v>-57.114018836524046</v>
      </c>
      <c r="Q203" s="31">
        <f>SIN($F$381)*COS(P204)*COS(O204+$B$381)+COS($F$381)*SIN(P204)</f>
        <v>-0.8403272012216567</v>
      </c>
      <c r="R203" s="31" t="s">
        <v>139</v>
      </c>
      <c r="S203" s="20" t="s">
        <v>119</v>
      </c>
      <c r="T203" s="20" t="s">
        <v>122</v>
      </c>
      <c r="U203" s="20" t="s">
        <v>121</v>
      </c>
      <c r="V203" s="20" t="s">
        <v>122</v>
      </c>
      <c r="W203" s="20" t="s">
        <v>130</v>
      </c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9"/>
    </row>
    <row r="204" spans="1:38" s="8" customFormat="1" ht="12.75">
      <c r="A204" s="16"/>
      <c r="B204" s="16"/>
      <c r="C204" s="16"/>
      <c r="D204" s="16"/>
      <c r="E204" s="16"/>
      <c r="F204" s="16"/>
      <c r="M204" s="24">
        <f>(M201+M202/60+M203/3600)*15</f>
        <v>187.79149583333333</v>
      </c>
      <c r="N204" s="24">
        <f>N201+N202/60+N203/3600</f>
        <v>-57.11321111111111</v>
      </c>
      <c r="O204" s="8">
        <f>RADIANS(O203)</f>
        <v>3.27758139965625</v>
      </c>
      <c r="P204" s="8">
        <f>RADIANS(P203)</f>
        <v>-0.9968276777434056</v>
      </c>
      <c r="R204" s="8">
        <f>DEGREES(ASIN(Q203))</f>
        <v>-57.17468740523441</v>
      </c>
      <c r="S204" s="8">
        <f>RADIANS(R204)</f>
        <v>-0.9978865440198739</v>
      </c>
      <c r="T204" s="8">
        <f>SIN($D$373)*COS(S201)*$A$370+SIN(S201)*$A$373</f>
        <v>-3.3333358482342383E-05</v>
      </c>
      <c r="U204" s="22">
        <f>($A$394*U201-U202)*$V$18/COS(S204)</f>
        <v>6.3030770733409596E-06</v>
      </c>
      <c r="V204" s="22">
        <f>($A$394*V201-V202)*$V$18</f>
        <v>8.054367467131783E-05</v>
      </c>
      <c r="W204" s="8">
        <f>360-W201</f>
        <v>172.0492533863227</v>
      </c>
      <c r="AL204" s="9"/>
    </row>
    <row r="205" spans="1:38" s="8" customFormat="1" ht="12.75">
      <c r="A205" s="16" t="s">
        <v>140</v>
      </c>
      <c r="B205" s="16" t="s">
        <v>140</v>
      </c>
      <c r="C205" s="16" t="s">
        <v>140</v>
      </c>
      <c r="D205" s="16" t="s">
        <v>140</v>
      </c>
      <c r="E205" s="16" t="s">
        <v>140</v>
      </c>
      <c r="F205" s="16" t="s">
        <v>140</v>
      </c>
      <c r="M205" s="16" t="s">
        <v>140</v>
      </c>
      <c r="N205" s="16" t="s">
        <v>197</v>
      </c>
      <c r="O205" s="16" t="s">
        <v>140</v>
      </c>
      <c r="P205" s="16" t="s">
        <v>140</v>
      </c>
      <c r="Q205" s="16" t="s">
        <v>140</v>
      </c>
      <c r="R205" s="16" t="s">
        <v>140</v>
      </c>
      <c r="S205" s="16" t="s">
        <v>140</v>
      </c>
      <c r="T205" s="16" t="s">
        <v>197</v>
      </c>
      <c r="U205" s="16" t="s">
        <v>140</v>
      </c>
      <c r="V205" s="16" t="s">
        <v>140</v>
      </c>
      <c r="W205" s="16" t="s">
        <v>140</v>
      </c>
      <c r="X205" s="16" t="s">
        <v>140</v>
      </c>
      <c r="Y205" s="16" t="s">
        <v>140</v>
      </c>
      <c r="Z205" s="16" t="s">
        <v>197</v>
      </c>
      <c r="AA205" s="16" t="s">
        <v>140</v>
      </c>
      <c r="AB205" s="16" t="s">
        <v>140</v>
      </c>
      <c r="AC205" s="16" t="s">
        <v>140</v>
      </c>
      <c r="AD205" s="16" t="s">
        <v>140</v>
      </c>
      <c r="AE205" s="16" t="s">
        <v>140</v>
      </c>
      <c r="AF205" s="16" t="s">
        <v>197</v>
      </c>
      <c r="AG205" s="16" t="s">
        <v>140</v>
      </c>
      <c r="AH205" s="16" t="s">
        <v>140</v>
      </c>
      <c r="AI205" s="16" t="s">
        <v>140</v>
      </c>
      <c r="AJ205" s="16" t="s">
        <v>140</v>
      </c>
      <c r="AK205" s="16" t="s">
        <v>140</v>
      </c>
      <c r="AL205" s="9"/>
    </row>
    <row r="206" spans="1:38" s="8" customFormat="1" ht="12.75">
      <c r="A206" s="16"/>
      <c r="B206" s="16"/>
      <c r="C206" s="16"/>
      <c r="D206" s="16"/>
      <c r="E206" s="16"/>
      <c r="F206" s="16"/>
      <c r="M206" s="23" t="s">
        <v>104</v>
      </c>
      <c r="N206" s="23" t="s">
        <v>139</v>
      </c>
      <c r="O206" s="23" t="s">
        <v>106</v>
      </c>
      <c r="P206" s="23" t="s">
        <v>107</v>
      </c>
      <c r="Q206" s="8" t="s">
        <v>114</v>
      </c>
      <c r="R206" s="8" t="s">
        <v>104</v>
      </c>
      <c r="S206" s="8" t="s">
        <v>118</v>
      </c>
      <c r="T206" s="8" t="s">
        <v>121</v>
      </c>
      <c r="U206" s="8" t="s">
        <v>125</v>
      </c>
      <c r="V206" s="8" t="s">
        <v>126</v>
      </c>
      <c r="W206" s="8" t="s">
        <v>104</v>
      </c>
      <c r="X206" s="8" t="s">
        <v>139</v>
      </c>
      <c r="Y206" s="8" t="s">
        <v>67</v>
      </c>
      <c r="Z206" s="8" t="s">
        <v>68</v>
      </c>
      <c r="AA206" s="8" t="s">
        <v>69</v>
      </c>
      <c r="AB206" s="8" t="s">
        <v>74</v>
      </c>
      <c r="AC206" s="8" t="s">
        <v>73</v>
      </c>
      <c r="AD206" s="8" t="s">
        <v>70</v>
      </c>
      <c r="AE206" s="24" t="s">
        <v>75</v>
      </c>
      <c r="AF206" s="8" t="s">
        <v>71</v>
      </c>
      <c r="AG206" s="8" t="s">
        <v>72</v>
      </c>
      <c r="AH206" s="25" t="s">
        <v>76</v>
      </c>
      <c r="AI206" s="25" t="s">
        <v>77</v>
      </c>
      <c r="AJ206" s="24" t="s">
        <v>78</v>
      </c>
      <c r="AK206" s="24" t="s">
        <v>79</v>
      </c>
      <c r="AL206" s="9"/>
    </row>
    <row r="207" spans="1:38" s="8" customFormat="1" ht="12.75">
      <c r="A207" s="16" t="s">
        <v>197</v>
      </c>
      <c r="B207" s="26">
        <v>29</v>
      </c>
      <c r="C207" s="27">
        <v>2.6</v>
      </c>
      <c r="D207" s="18" t="s">
        <v>165</v>
      </c>
      <c r="E207" s="11">
        <f>TRUNC(W210)</f>
        <v>175</v>
      </c>
      <c r="F207" s="12">
        <f>ABS(W210-E207)*60</f>
        <v>54.091754815403306</v>
      </c>
      <c r="M207" s="23">
        <v>12</v>
      </c>
      <c r="N207" s="23">
        <v>-17</v>
      </c>
      <c r="O207" s="23">
        <v>-0.15958</v>
      </c>
      <c r="P207" s="23">
        <v>0.02231</v>
      </c>
      <c r="Q207" s="8">
        <f>COS(P210)*SIN(O210+$B$381)</f>
        <v>-0.06686995915420733</v>
      </c>
      <c r="R207" s="8">
        <f>DEGREES(ATAN2(Q208,Q207))+$C$381</f>
        <v>-175.90663644117737</v>
      </c>
      <c r="S207" s="8">
        <f>RADIANS(R208)</f>
        <v>3.2130353251724006</v>
      </c>
      <c r="T207" s="8">
        <f>(COS($D$373)+SIN($D$373)*SIN(S207)*TAN(S210))*$A$370-COS(S207)*TAN(S210)*$A$373</f>
        <v>7.846420167444913E-05</v>
      </c>
      <c r="U207" s="8">
        <f>COS(S207)*COS($D$394)*COS($D$373)+SIN(S207)*SIN($D$394)</f>
        <v>0.1383158796444628</v>
      </c>
      <c r="V207" s="8">
        <f>COS($D$394)*COS($D$373)*(TAN($D$373)*COS(S210)-SIN(S207)*SIN(S210))+COS(S207)*SIN(S210)*SIN($D$394)</f>
        <v>0.21216289485845036</v>
      </c>
      <c r="W207" s="8">
        <f>DEGREES(U210+T207+S207)</f>
        <v>184.0984707530766</v>
      </c>
      <c r="X207" s="8">
        <f>DEGREES(V210+T210+S210)</f>
        <v>-17.603553528113213</v>
      </c>
      <c r="Y207" s="28">
        <f>V210+T210+S210</f>
        <v>-0.30723996911663976</v>
      </c>
      <c r="Z207" s="8">
        <f>RADIANS(A209)</f>
        <v>1.6876935956144745</v>
      </c>
      <c r="AA207" s="8">
        <f>Z207+$K$2</f>
        <v>-0.40670150677872074</v>
      </c>
      <c r="AB207" s="8">
        <f>DEGREES(AA207)</f>
        <v>-23.30227986003194</v>
      </c>
      <c r="AC207" s="8">
        <f>AB207-INT(AB207/360)*360</f>
        <v>336.69772013996806</v>
      </c>
      <c r="AD207" s="28">
        <f>SIN(Y207)*SIN($J$2)+COS(Y207)*COS($J$2)*COS(AA207)</f>
        <v>0.9093524471336375</v>
      </c>
      <c r="AE207" s="28">
        <f>ASIN(AD207)</f>
        <v>1.1417248863813192</v>
      </c>
      <c r="AF207" s="28">
        <f>(SIN(Y207)-SIN($J$2)*AD207)/(COS($J$2)*COS(AE207))</f>
        <v>0.4225690005843095</v>
      </c>
      <c r="AG207" s="8">
        <f>DEGREES(ACOS(AF207))</f>
        <v>65.00311419655597</v>
      </c>
      <c r="AH207" s="8">
        <f>IF(AC207&gt;180,AG207,360-AG207)</f>
        <v>65.00311419655597</v>
      </c>
      <c r="AI207" s="8">
        <f>DEGREES(AE207)</f>
        <v>65.41601735470303</v>
      </c>
      <c r="AJ207" s="28">
        <f>$C$5-AI207</f>
        <v>1.4406493119636394</v>
      </c>
      <c r="AK207" s="29">
        <f>$D$5-AH207</f>
        <v>162.89688580344404</v>
      </c>
      <c r="AL207" s="9">
        <f>AJ207*AJ207+AK207*AK207</f>
        <v>26537.470874900348</v>
      </c>
    </row>
    <row r="208" spans="1:38" s="8" customFormat="1" ht="12.75">
      <c r="A208" s="16" t="s">
        <v>137</v>
      </c>
      <c r="B208" s="16" t="s">
        <v>138</v>
      </c>
      <c r="C208" s="16" t="s">
        <v>135</v>
      </c>
      <c r="D208" s="16" t="s">
        <v>139</v>
      </c>
      <c r="E208" s="16" t="s">
        <v>138</v>
      </c>
      <c r="F208" s="16" t="s">
        <v>135</v>
      </c>
      <c r="M208" s="23">
        <v>15</v>
      </c>
      <c r="N208" s="23">
        <v>-32</v>
      </c>
      <c r="O208" s="8" t="s">
        <v>110</v>
      </c>
      <c r="P208" s="8" t="s">
        <v>111</v>
      </c>
      <c r="Q208" s="8">
        <f>COS($F$381)*COS(P210)*COS(O210+$B$381)-SIN($F$381)*SIN(P210)</f>
        <v>-0.9508265398486838</v>
      </c>
      <c r="R208" s="8">
        <f>R207-360*INT(R207/360)</f>
        <v>184.09336355882263</v>
      </c>
      <c r="U208" s="8">
        <f>COS(S207)*COS($D$389)*COS($D$373)+SIN(S207)*SIN($D$389)</f>
        <v>-0.10007345961463415</v>
      </c>
      <c r="V208" s="8">
        <f>COS($D$389)*COS($D$373)*(TAN($D$373)*COS(S210)-SIN(S207)*SIN(S210))+COS(S207)*SIN(S210)*SIN($D$389)</f>
        <v>-0.22955347111286287</v>
      </c>
      <c r="AL208" s="9"/>
    </row>
    <row r="209" spans="1:38" s="8" customFormat="1" ht="12.75">
      <c r="A209" s="10">
        <f>($C$376+E207+F207/60)-INT(($C$376+E207+F207/60)/360)*360</f>
        <v>96.69772013996806</v>
      </c>
      <c r="B209" s="11">
        <f>TRUNC(A209)</f>
        <v>96</v>
      </c>
      <c r="C209" s="12">
        <f>(A209-B209)*60</f>
        <v>41.863208398083316</v>
      </c>
      <c r="D209" s="32" t="str">
        <f>IF(X207&gt;=0,"N","S")</f>
        <v>S</v>
      </c>
      <c r="E209" s="11">
        <f>ABS(TRUNC(X207))</f>
        <v>17</v>
      </c>
      <c r="F209" s="12">
        <f>ABS(X207-TRUNC(X207))*60</f>
        <v>36.2132116867928</v>
      </c>
      <c r="M209" s="30">
        <v>48.37</v>
      </c>
      <c r="N209" s="30">
        <v>-30.95</v>
      </c>
      <c r="O209" s="31">
        <f>M210+O207/3600*$A$367</f>
        <v>183.9510540306761</v>
      </c>
      <c r="P209" s="31">
        <f>N210+P207/3600*$A$367</f>
        <v>-17.541862381856156</v>
      </c>
      <c r="Q209" s="31">
        <f>SIN($F$381)*COS(P210)*COS(O210+$B$381)+COS($F$381)*SIN(P210)</f>
        <v>-0.3024190795602914</v>
      </c>
      <c r="R209" s="31" t="s">
        <v>139</v>
      </c>
      <c r="S209" s="20" t="s">
        <v>119</v>
      </c>
      <c r="T209" s="20" t="s">
        <v>122</v>
      </c>
      <c r="U209" s="20" t="s">
        <v>121</v>
      </c>
      <c r="V209" s="20" t="s">
        <v>122</v>
      </c>
      <c r="W209" s="20" t="s">
        <v>130</v>
      </c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9"/>
    </row>
    <row r="210" spans="1:38" s="8" customFormat="1" ht="12.75">
      <c r="A210" s="16"/>
      <c r="B210" s="16"/>
      <c r="C210" s="16"/>
      <c r="D210" s="16"/>
      <c r="E210" s="16"/>
      <c r="F210" s="16"/>
      <c r="M210" s="24">
        <f>(M207+M208/60+M209/3600)*15</f>
        <v>183.95154166666669</v>
      </c>
      <c r="N210" s="24">
        <f>N207+N208/60+N209/3600</f>
        <v>-17.541930555555556</v>
      </c>
      <c r="O210" s="8">
        <f>RADIANS(O209)</f>
        <v>3.210551555349284</v>
      </c>
      <c r="P210" s="8">
        <f>RADIANS(P209)</f>
        <v>-0.30616325549512474</v>
      </c>
      <c r="R210" s="8">
        <f>DEGREES(ASIN(Q209))</f>
        <v>-17.602956737165034</v>
      </c>
      <c r="S210" s="8">
        <f>RADIANS(R210)</f>
        <v>-0.30722955314964795</v>
      </c>
      <c r="T210" s="8">
        <f>SIN($D$373)*COS(S207)*$A$370+SIN(S207)*$A$373</f>
        <v>-3.357771410646732E-05</v>
      </c>
      <c r="U210" s="22">
        <f>($A$394*U207-U208)*$V$18/COS(S210)</f>
        <v>1.0673153596375088E-05</v>
      </c>
      <c r="V210" s="22">
        <f>($A$394*V207-V208)*$V$18</f>
        <v>2.316174711465926E-05</v>
      </c>
      <c r="W210" s="8">
        <f>360-W207</f>
        <v>175.9015292469234</v>
      </c>
      <c r="AL210" s="9"/>
    </row>
    <row r="211" spans="1:38" s="8" customFormat="1" ht="12.75">
      <c r="A211" s="16" t="s">
        <v>140</v>
      </c>
      <c r="B211" s="16" t="s">
        <v>140</v>
      </c>
      <c r="C211" s="16" t="s">
        <v>140</v>
      </c>
      <c r="D211" s="16" t="s">
        <v>140</v>
      </c>
      <c r="E211" s="16" t="s">
        <v>140</v>
      </c>
      <c r="F211" s="16" t="s">
        <v>140</v>
      </c>
      <c r="M211" s="16" t="s">
        <v>140</v>
      </c>
      <c r="N211" s="16" t="s">
        <v>198</v>
      </c>
      <c r="O211" s="16" t="s">
        <v>140</v>
      </c>
      <c r="P211" s="16" t="s">
        <v>140</v>
      </c>
      <c r="Q211" s="16" t="s">
        <v>140</v>
      </c>
      <c r="R211" s="16" t="s">
        <v>140</v>
      </c>
      <c r="S211" s="16" t="s">
        <v>140</v>
      </c>
      <c r="T211" s="16" t="s">
        <v>198</v>
      </c>
      <c r="U211" s="16" t="s">
        <v>140</v>
      </c>
      <c r="V211" s="16" t="s">
        <v>140</v>
      </c>
      <c r="W211" s="16" t="s">
        <v>140</v>
      </c>
      <c r="X211" s="16" t="s">
        <v>140</v>
      </c>
      <c r="Y211" s="16" t="s">
        <v>140</v>
      </c>
      <c r="Z211" s="16" t="s">
        <v>198</v>
      </c>
      <c r="AA211" s="16" t="s">
        <v>140</v>
      </c>
      <c r="AB211" s="16" t="s">
        <v>140</v>
      </c>
      <c r="AC211" s="16" t="s">
        <v>140</v>
      </c>
      <c r="AD211" s="16" t="s">
        <v>140</v>
      </c>
      <c r="AE211" s="16" t="s">
        <v>140</v>
      </c>
      <c r="AF211" s="16" t="s">
        <v>198</v>
      </c>
      <c r="AG211" s="16" t="s">
        <v>140</v>
      </c>
      <c r="AH211" s="16" t="s">
        <v>140</v>
      </c>
      <c r="AI211" s="16" t="s">
        <v>140</v>
      </c>
      <c r="AJ211" s="16" t="s">
        <v>140</v>
      </c>
      <c r="AK211" s="16" t="s">
        <v>140</v>
      </c>
      <c r="AL211" s="9"/>
    </row>
    <row r="212" spans="1:38" s="8" customFormat="1" ht="12.75">
      <c r="A212" s="16"/>
      <c r="B212" s="16"/>
      <c r="C212" s="16"/>
      <c r="D212" s="16"/>
      <c r="E212" s="16"/>
      <c r="F212" s="16"/>
      <c r="M212" s="23" t="s">
        <v>104</v>
      </c>
      <c r="N212" s="23" t="s">
        <v>139</v>
      </c>
      <c r="O212" s="23" t="s">
        <v>106</v>
      </c>
      <c r="P212" s="23" t="s">
        <v>107</v>
      </c>
      <c r="Q212" s="8" t="s">
        <v>114</v>
      </c>
      <c r="R212" s="8" t="s">
        <v>104</v>
      </c>
      <c r="S212" s="8" t="s">
        <v>118</v>
      </c>
      <c r="T212" s="8" t="s">
        <v>121</v>
      </c>
      <c r="U212" s="8" t="s">
        <v>125</v>
      </c>
      <c r="V212" s="8" t="s">
        <v>126</v>
      </c>
      <c r="W212" s="8" t="s">
        <v>104</v>
      </c>
      <c r="X212" s="8" t="s">
        <v>139</v>
      </c>
      <c r="Y212" s="8" t="s">
        <v>67</v>
      </c>
      <c r="Z212" s="8" t="s">
        <v>68</v>
      </c>
      <c r="AA212" s="8" t="s">
        <v>69</v>
      </c>
      <c r="AB212" s="8" t="s">
        <v>74</v>
      </c>
      <c r="AC212" s="8" t="s">
        <v>73</v>
      </c>
      <c r="AD212" s="8" t="s">
        <v>70</v>
      </c>
      <c r="AE212" s="24" t="s">
        <v>75</v>
      </c>
      <c r="AF212" s="8" t="s">
        <v>71</v>
      </c>
      <c r="AG212" s="8" t="s">
        <v>72</v>
      </c>
      <c r="AH212" s="25" t="s">
        <v>76</v>
      </c>
      <c r="AI212" s="25" t="s">
        <v>77</v>
      </c>
      <c r="AJ212" s="24" t="s">
        <v>78</v>
      </c>
      <c r="AK212" s="24" t="s">
        <v>79</v>
      </c>
      <c r="AL212" s="9"/>
    </row>
    <row r="213" spans="1:38" s="8" customFormat="1" ht="12.75">
      <c r="A213" s="16" t="s">
        <v>198</v>
      </c>
      <c r="B213" s="26">
        <v>35</v>
      </c>
      <c r="C213" s="27">
        <v>0.6</v>
      </c>
      <c r="D213" s="18" t="s">
        <v>165</v>
      </c>
      <c r="E213" s="11">
        <f>TRUNC(W216)</f>
        <v>148</v>
      </c>
      <c r="F213" s="12">
        <f>ABS(W216-E213)*60</f>
        <v>50.74294921268802</v>
      </c>
      <c r="M213" s="23">
        <v>14</v>
      </c>
      <c r="N213" s="23">
        <v>-60</v>
      </c>
      <c r="O213" s="23">
        <v>-0.03396</v>
      </c>
      <c r="P213" s="23">
        <v>-0.02506</v>
      </c>
      <c r="Q213" s="8">
        <f>COS(P216)*SIN(O216+$B$381)</f>
        <v>-0.25480285264233404</v>
      </c>
      <c r="R213" s="8">
        <f>DEGREES(ATAN2(Q214,Q213))+$C$381</f>
        <v>-148.84769226726132</v>
      </c>
      <c r="S213" s="8">
        <f>RADIANS(R214)</f>
        <v>3.685302993120573</v>
      </c>
      <c r="T213" s="8">
        <f>(COS($D$373)+SIN($D$373)*SIN(S213)*TAN(S216))*$A$370-COS(S213)*TAN(S216)*$A$373</f>
        <v>0.0001085205961196581</v>
      </c>
      <c r="U213" s="8">
        <f>COS(S213)*COS($D$394)*COS($D$373)+SIN(S213)*SIN($D$394)</f>
        <v>-0.3254808609659066</v>
      </c>
      <c r="V213" s="8">
        <f>COS($D$394)*COS($D$373)*(TAN($D$373)*COS(S216)-SIN(S213)*SIN(S216))+COS(S213)*SIN(S216)*SIN($D$394)</f>
        <v>0.7740139272722519</v>
      </c>
      <c r="W213" s="8">
        <f>DEGREES(U216+T213+S213)</f>
        <v>211.15428417978853</v>
      </c>
      <c r="X213" s="8">
        <f>DEGREES(V216+T216+S216)</f>
        <v>-60.42276465940189</v>
      </c>
      <c r="Y213" s="28">
        <f>V216+T216+S216</f>
        <v>-1.0545761864642331</v>
      </c>
      <c r="Z213" s="8">
        <f>RADIANS(A215)</f>
        <v>1.2154805695130626</v>
      </c>
      <c r="AA213" s="8">
        <f>Z213+$K$2</f>
        <v>-0.8789145328801327</v>
      </c>
      <c r="AB213" s="8">
        <f>DEGREES(AA213)</f>
        <v>-50.358093286743824</v>
      </c>
      <c r="AC213" s="8">
        <f>AB213-INT(AB213/360)*360</f>
        <v>309.64190671325616</v>
      </c>
      <c r="AD213" s="28">
        <f>SIN(Y213)*SIN($J$2)+COS(Y213)*COS($J$2)*COS(AA213)</f>
        <v>0.7075641004891053</v>
      </c>
      <c r="AE213" s="28">
        <f>ASIN(AD213)</f>
        <v>0.7860451198789287</v>
      </c>
      <c r="AF213" s="28">
        <f>(SIN(Y213)-SIN($J$2)*AD213)/(COS($J$2)*COS(AE213))</f>
        <v>-0.8430215462470004</v>
      </c>
      <c r="AG213" s="8">
        <f>DEGREES(ACOS(AF213))</f>
        <v>147.46057647106937</v>
      </c>
      <c r="AH213" s="8">
        <f>IF(AC213&gt;180,AG213,360-AG213)</f>
        <v>147.46057647106937</v>
      </c>
      <c r="AI213" s="8">
        <f>DEGREES(AE213)</f>
        <v>45.03706787591746</v>
      </c>
      <c r="AJ213" s="28">
        <f>$C$5-AI213</f>
        <v>21.81959879074921</v>
      </c>
      <c r="AK213" s="29">
        <f>$D$5-AH213</f>
        <v>80.43942352893063</v>
      </c>
      <c r="AL213" s="9">
        <f>AJ213*AJ213+AK213*AK213</f>
        <v>6946.595749055943</v>
      </c>
    </row>
    <row r="214" spans="1:38" s="8" customFormat="1" ht="12.75">
      <c r="A214" s="16" t="s">
        <v>137</v>
      </c>
      <c r="B214" s="16" t="s">
        <v>138</v>
      </c>
      <c r="C214" s="16" t="s">
        <v>135</v>
      </c>
      <c r="D214" s="16" t="s">
        <v>139</v>
      </c>
      <c r="E214" s="16" t="s">
        <v>138</v>
      </c>
      <c r="F214" s="16" t="s">
        <v>135</v>
      </c>
      <c r="M214" s="23">
        <v>3</v>
      </c>
      <c r="N214" s="23">
        <v>-22</v>
      </c>
      <c r="O214" s="8" t="s">
        <v>110</v>
      </c>
      <c r="P214" s="8" t="s">
        <v>111</v>
      </c>
      <c r="Q214" s="8">
        <f>COS($F$381)*COS(P216)*COS(O216+$B$381)-SIN($F$381)*SIN(P216)</f>
        <v>-0.4226945025197705</v>
      </c>
      <c r="R214" s="8">
        <f>R213-360*INT(R213/360)</f>
        <v>211.15230773273868</v>
      </c>
      <c r="U214" s="8">
        <f>COS(S213)*COS($D$389)*COS($D$373)+SIN(S213)*SIN($D$389)</f>
        <v>0.3622511411409954</v>
      </c>
      <c r="V214" s="8">
        <f>COS($D$389)*COS($D$373)*(TAN($D$373)*COS(S216)-SIN(S213)*SIN(S216))+COS(S213)*SIN(S216)*SIN($D$389)</f>
        <v>-0.7715749919408174</v>
      </c>
      <c r="AL214" s="9"/>
    </row>
    <row r="215" spans="1:38" s="8" customFormat="1" ht="12.75">
      <c r="A215" s="10">
        <f>($C$376+E213+F213/60)-INT(($C$376+E213+F213/60)/360)*360</f>
        <v>69.64190671325616</v>
      </c>
      <c r="B215" s="11">
        <f>TRUNC(A215)</f>
        <v>69</v>
      </c>
      <c r="C215" s="12">
        <f>(A215-B215)*60</f>
        <v>38.51440279536973</v>
      </c>
      <c r="D215" s="32" t="str">
        <f>IF(X213&gt;=0,"N","S")</f>
        <v>S</v>
      </c>
      <c r="E215" s="11">
        <f>ABS(TRUNC(X213))</f>
        <v>60</v>
      </c>
      <c r="F215" s="12">
        <f>ABS(X213-TRUNC(X213))*60</f>
        <v>25.365879564113527</v>
      </c>
      <c r="M215" s="30">
        <v>49.404</v>
      </c>
      <c r="N215" s="30">
        <v>-22.94</v>
      </c>
      <c r="O215" s="31">
        <f>M216+O213/3600*$A$367</f>
        <v>210.9557462268565</v>
      </c>
      <c r="P215" s="31">
        <f>N216+P213/3600*$A$367</f>
        <v>-60.37311546589055</v>
      </c>
      <c r="Q215" s="31">
        <f>SIN($F$381)*COS(P216)*COS(O216+$B$381)+COS($F$381)*SIN(P216)</f>
        <v>-0.8697153924272543</v>
      </c>
      <c r="R215" s="31" t="s">
        <v>139</v>
      </c>
      <c r="S215" s="20" t="s">
        <v>119</v>
      </c>
      <c r="T215" s="20" t="s">
        <v>122</v>
      </c>
      <c r="U215" s="20" t="s">
        <v>121</v>
      </c>
      <c r="V215" s="20" t="s">
        <v>122</v>
      </c>
      <c r="W215" s="20" t="s">
        <v>130</v>
      </c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9"/>
    </row>
    <row r="216" spans="1:38" s="8" customFormat="1" ht="12.75">
      <c r="A216" s="16"/>
      <c r="B216" s="16"/>
      <c r="C216" s="16"/>
      <c r="D216" s="16"/>
      <c r="E216" s="16"/>
      <c r="F216" s="16"/>
      <c r="M216" s="24">
        <f>(M213+M214/60+M215/3600)*15</f>
        <v>210.95585</v>
      </c>
      <c r="N216" s="24">
        <f>N213+N214/60+N215/3600</f>
        <v>-60.37303888888889</v>
      </c>
      <c r="O216" s="8">
        <f>RADIANS(O215)</f>
        <v>3.6818723476602506</v>
      </c>
      <c r="P216" s="8">
        <f>RADIANS(P215)</f>
        <v>-1.0537096445665004</v>
      </c>
      <c r="R216" s="8">
        <f>DEGREES(ASIN(Q215))</f>
        <v>-60.42558309470203</v>
      </c>
      <c r="S216" s="8">
        <f>RADIANS(R216)</f>
        <v>-1.054625377439975</v>
      </c>
      <c r="T216" s="8">
        <f>SIN($D$373)*COS(S213)*$A$370+SIN(S213)*$A$373</f>
        <v>-2.876134348626186E-05</v>
      </c>
      <c r="U216" s="22">
        <f>($A$394*U213-U214)*$V$18/COS(S216)</f>
        <v>-7.40250876087814E-05</v>
      </c>
      <c r="V216" s="22">
        <f>($A$394*V213-V214)*$V$18</f>
        <v>7.795231922806805E-05</v>
      </c>
      <c r="W216" s="8">
        <f>360-W213</f>
        <v>148.84571582021147</v>
      </c>
      <c r="AL216" s="9"/>
    </row>
    <row r="217" spans="1:38" s="8" customFormat="1" ht="12.75">
      <c r="A217" s="16" t="s">
        <v>140</v>
      </c>
      <c r="B217" s="16" t="s">
        <v>140</v>
      </c>
      <c r="C217" s="16" t="s">
        <v>140</v>
      </c>
      <c r="D217" s="16" t="s">
        <v>140</v>
      </c>
      <c r="E217" s="16" t="s">
        <v>140</v>
      </c>
      <c r="F217" s="16" t="s">
        <v>140</v>
      </c>
      <c r="M217" s="16" t="s">
        <v>140</v>
      </c>
      <c r="N217" s="16" t="s">
        <v>199</v>
      </c>
      <c r="O217" s="16" t="s">
        <v>140</v>
      </c>
      <c r="P217" s="16" t="s">
        <v>140</v>
      </c>
      <c r="Q217" s="16" t="s">
        <v>140</v>
      </c>
      <c r="R217" s="16" t="s">
        <v>140</v>
      </c>
      <c r="S217" s="16" t="s">
        <v>140</v>
      </c>
      <c r="T217" s="16" t="s">
        <v>199</v>
      </c>
      <c r="U217" s="16" t="s">
        <v>140</v>
      </c>
      <c r="V217" s="16" t="s">
        <v>140</v>
      </c>
      <c r="W217" s="16" t="s">
        <v>140</v>
      </c>
      <c r="X217" s="16" t="s">
        <v>140</v>
      </c>
      <c r="Y217" s="16" t="s">
        <v>140</v>
      </c>
      <c r="Z217" s="16" t="s">
        <v>199</v>
      </c>
      <c r="AA217" s="16" t="s">
        <v>140</v>
      </c>
      <c r="AB217" s="16" t="s">
        <v>140</v>
      </c>
      <c r="AC217" s="16" t="s">
        <v>140</v>
      </c>
      <c r="AD217" s="16" t="s">
        <v>140</v>
      </c>
      <c r="AE217" s="16" t="s">
        <v>140</v>
      </c>
      <c r="AF217" s="16" t="s">
        <v>199</v>
      </c>
      <c r="AG217" s="16" t="s">
        <v>140</v>
      </c>
      <c r="AH217" s="16" t="s">
        <v>140</v>
      </c>
      <c r="AI217" s="16" t="s">
        <v>140</v>
      </c>
      <c r="AJ217" s="16" t="s">
        <v>140</v>
      </c>
      <c r="AK217" s="16" t="s">
        <v>140</v>
      </c>
      <c r="AL217" s="9"/>
    </row>
    <row r="218" spans="1:38" s="8" customFormat="1" ht="12.75">
      <c r="A218" s="16"/>
      <c r="B218" s="16"/>
      <c r="C218" s="16"/>
      <c r="D218" s="16"/>
      <c r="E218" s="16"/>
      <c r="F218" s="16"/>
      <c r="M218" s="23" t="s">
        <v>104</v>
      </c>
      <c r="N218" s="23" t="s">
        <v>139</v>
      </c>
      <c r="O218" s="23" t="s">
        <v>106</v>
      </c>
      <c r="P218" s="23" t="s">
        <v>107</v>
      </c>
      <c r="Q218" s="8" t="s">
        <v>114</v>
      </c>
      <c r="R218" s="8" t="s">
        <v>104</v>
      </c>
      <c r="S218" s="8" t="s">
        <v>118</v>
      </c>
      <c r="T218" s="8" t="s">
        <v>121</v>
      </c>
      <c r="U218" s="8" t="s">
        <v>125</v>
      </c>
      <c r="V218" s="8" t="s">
        <v>126</v>
      </c>
      <c r="W218" s="8" t="s">
        <v>104</v>
      </c>
      <c r="X218" s="8" t="s">
        <v>139</v>
      </c>
      <c r="Y218" s="8" t="s">
        <v>67</v>
      </c>
      <c r="Z218" s="8" t="s">
        <v>68</v>
      </c>
      <c r="AA218" s="8" t="s">
        <v>69</v>
      </c>
      <c r="AB218" s="8" t="s">
        <v>74</v>
      </c>
      <c r="AC218" s="8" t="s">
        <v>73</v>
      </c>
      <c r="AD218" s="8" t="s">
        <v>70</v>
      </c>
      <c r="AE218" s="24" t="s">
        <v>75</v>
      </c>
      <c r="AF218" s="8" t="s">
        <v>71</v>
      </c>
      <c r="AG218" s="8" t="s">
        <v>72</v>
      </c>
      <c r="AH218" s="25" t="s">
        <v>76</v>
      </c>
      <c r="AI218" s="25" t="s">
        <v>77</v>
      </c>
      <c r="AJ218" s="24" t="s">
        <v>78</v>
      </c>
      <c r="AK218" s="24" t="s">
        <v>79</v>
      </c>
      <c r="AL218" s="9"/>
    </row>
    <row r="219" spans="1:38" s="8" customFormat="1" ht="12.75">
      <c r="A219" s="16" t="s">
        <v>199</v>
      </c>
      <c r="B219" s="26">
        <v>6</v>
      </c>
      <c r="C219" s="27">
        <v>2</v>
      </c>
      <c r="D219" s="18" t="s">
        <v>165</v>
      </c>
      <c r="E219" s="11">
        <f>TRUNC(W222)</f>
        <v>328</v>
      </c>
      <c r="F219" s="12">
        <f>ABS(W222-E219)*60</f>
        <v>2.6275107779315476</v>
      </c>
      <c r="M219" s="23">
        <v>2</v>
      </c>
      <c r="N219" s="23">
        <v>23</v>
      </c>
      <c r="O219" s="23">
        <v>0.19073</v>
      </c>
      <c r="P219" s="23">
        <v>-0.14577</v>
      </c>
      <c r="Q219" s="8">
        <f>COS(P222)*SIN(O222+$B$381)</f>
        <v>0.48426569990161095</v>
      </c>
      <c r="R219" s="8">
        <f>DEGREES(ATAN2(Q220,Q219))+$C$381</f>
        <v>31.948947450123686</v>
      </c>
      <c r="S219" s="8">
        <f>RADIANS(R220)</f>
        <v>0.5576143255513052</v>
      </c>
      <c r="T219" s="8">
        <f>(COS($D$373)+SIN($D$373)*SIN(S219)*TAN(S222))*$A$370-COS(S219)*TAN(S222)*$A$373</f>
        <v>8.545959905040806E-05</v>
      </c>
      <c r="U219" s="8">
        <f>COS(S219)*COS($D$394)*COS($D$373)+SIN(S219)*SIN($D$394)</f>
        <v>0.3385357436864449</v>
      </c>
      <c r="V219" s="8">
        <f>COS($D$394)*COS($D$373)*(TAN($D$373)*COS(S222)-SIN(S219)*SIN(S222))+COS(S219)*SIN(S222)*SIN($D$394)</f>
        <v>0.29085122044312917</v>
      </c>
      <c r="W219" s="8">
        <f>DEGREES(U222+T219+S219)</f>
        <v>31.956208153701155</v>
      </c>
      <c r="X219" s="8">
        <f>DEGREES(V222+T222+S222)</f>
        <v>23.517362446697025</v>
      </c>
      <c r="Y219" s="28">
        <f>V222+T222+S222</f>
        <v>0.4104554060797325</v>
      </c>
      <c r="Z219" s="8">
        <f>RADIANS(A221)</f>
        <v>4.343077009407404</v>
      </c>
      <c r="AA219" s="8">
        <f>Z219+$K$2</f>
        <v>2.2486819070142086</v>
      </c>
      <c r="AB219" s="8">
        <f>DEGREES(AA219)</f>
        <v>128.83998273934358</v>
      </c>
      <c r="AC219" s="8">
        <f>AB219-INT(AB219/360)*360</f>
        <v>128.83998273934358</v>
      </c>
      <c r="AD219" s="28">
        <f>SIN(Y219)*SIN($J$2)+COS(Y219)*COS($J$2)*COS(AA219)</f>
        <v>-0.6975266918689325</v>
      </c>
      <c r="AE219" s="28">
        <f>ASIN(AD219)</f>
        <v>-0.77194002428696</v>
      </c>
      <c r="AF219" s="28">
        <f>(SIN(Y219)-SIN($J$2)*AD219)/(COS($J$2)*COS(AE219))</f>
        <v>0.08099741367250565</v>
      </c>
      <c r="AG219" s="8">
        <f>DEGREES(ACOS(AF219))</f>
        <v>85.35410060374593</v>
      </c>
      <c r="AH219" s="8">
        <f>IF(AC219&gt;180,AG219,360-AG219)</f>
        <v>274.6458993962541</v>
      </c>
      <c r="AI219" s="8">
        <f>DEGREES(AE219)</f>
        <v>-44.22890542886907</v>
      </c>
      <c r="AJ219" s="28">
        <f>$C$5-AI219</f>
        <v>111.08557209553574</v>
      </c>
      <c r="AK219" s="29">
        <f>$D$5-AH219</f>
        <v>-46.74589939625409</v>
      </c>
      <c r="AL219" s="9">
        <f>AJ219*AJ219+AK219*AK219</f>
        <v>14525.183438157177</v>
      </c>
    </row>
    <row r="220" spans="1:38" s="8" customFormat="1" ht="12.75">
      <c r="A220" s="16" t="s">
        <v>137</v>
      </c>
      <c r="B220" s="16" t="s">
        <v>138</v>
      </c>
      <c r="C220" s="16" t="s">
        <v>135</v>
      </c>
      <c r="D220" s="16" t="s">
        <v>139</v>
      </c>
      <c r="E220" s="16" t="s">
        <v>138</v>
      </c>
      <c r="F220" s="16" t="s">
        <v>135</v>
      </c>
      <c r="M220" s="23">
        <v>7</v>
      </c>
      <c r="N220" s="23">
        <v>27</v>
      </c>
      <c r="O220" s="8" t="s">
        <v>110</v>
      </c>
      <c r="P220" s="8" t="s">
        <v>111</v>
      </c>
      <c r="Q220" s="8">
        <f>COS($F$381)*COS(P222)*COS(O222+$B$381)-SIN($F$381)*SIN(P222)</f>
        <v>0.7786573806770302</v>
      </c>
      <c r="R220" s="8">
        <f>R219-360*INT(R219/360)</f>
        <v>31.948947450123686</v>
      </c>
      <c r="U220" s="8">
        <f>COS(S219)*COS($D$389)*COS($D$373)+SIN(S219)*SIN($D$389)</f>
        <v>-0.3751344606649062</v>
      </c>
      <c r="V220" s="8">
        <f>COS($D$389)*COS($D$373)*(TAN($D$373)*COS(S222)-SIN(S219)*SIN(S222))+COS(S219)*SIN(S222)*SIN($D$389)</f>
        <v>-0.3008208031437781</v>
      </c>
      <c r="AL220" s="9"/>
    </row>
    <row r="221" spans="1:38" s="8" customFormat="1" ht="12.75">
      <c r="A221" s="10">
        <f>($C$376+E219+F219/60)-INT(($C$376+E219+F219/60)/360)*360</f>
        <v>248.83998273934355</v>
      </c>
      <c r="B221" s="11">
        <f>TRUNC(A221)</f>
        <v>248</v>
      </c>
      <c r="C221" s="34">
        <f>(A221-B221)*60</f>
        <v>50.39896436061326</v>
      </c>
      <c r="D221" s="32" t="str">
        <f>IF(X219&gt;=0,"N","S")</f>
        <v>N</v>
      </c>
      <c r="E221" s="11">
        <f>ABS(TRUNC(X219))</f>
        <v>23</v>
      </c>
      <c r="F221" s="12">
        <f>ABS(X219-TRUNC(X219))*60</f>
        <v>31.041746801821475</v>
      </c>
      <c r="M221" s="30">
        <v>10.407</v>
      </c>
      <c r="N221" s="30">
        <v>44.72</v>
      </c>
      <c r="O221" s="31">
        <f>M222+O219/3600*$A$367</f>
        <v>31.793945322487076</v>
      </c>
      <c r="P221" s="31">
        <f>N222+P219/3600*$A$367</f>
        <v>23.461976786087682</v>
      </c>
      <c r="Q221" s="31">
        <f>SIN($F$381)*COS(P222)*COS(O222+$B$381)+COS($F$381)*SIN(P222)</f>
        <v>0.3989729507322388</v>
      </c>
      <c r="R221" s="31" t="s">
        <v>139</v>
      </c>
      <c r="S221" s="20" t="s">
        <v>119</v>
      </c>
      <c r="T221" s="20" t="s">
        <v>122</v>
      </c>
      <c r="U221" s="20" t="s">
        <v>121</v>
      </c>
      <c r="V221" s="20" t="s">
        <v>122</v>
      </c>
      <c r="W221" s="20" t="s">
        <v>130</v>
      </c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9"/>
    </row>
    <row r="222" spans="1:38" s="8" customFormat="1" ht="12.75">
      <c r="A222" s="16"/>
      <c r="B222" s="16"/>
      <c r="C222" s="16"/>
      <c r="D222" s="16"/>
      <c r="E222" s="16"/>
      <c r="F222" s="16"/>
      <c r="M222" s="24">
        <f>(M219+M220/60+M221/3600)*15</f>
        <v>31.7933625</v>
      </c>
      <c r="N222" s="24">
        <f>N219+N220/60+N221/3600</f>
        <v>23.462422222222223</v>
      </c>
      <c r="O222" s="8">
        <f>RADIANS(O221)</f>
        <v>0.5549090280764498</v>
      </c>
      <c r="P222" s="8">
        <f>RADIANS(P221)</f>
        <v>0.4094887439437074</v>
      </c>
      <c r="R222" s="8">
        <f>DEGREES(ASIN(Q221))</f>
        <v>23.513988356959036</v>
      </c>
      <c r="S222" s="8">
        <f>RADIANS(R222)</f>
        <v>0.4103965171045469</v>
      </c>
      <c r="T222" s="8">
        <f>SIN($D$373)*COS(S219)*$A$370+SIN(S219)*$A$373</f>
        <v>2.851513706386588E-05</v>
      </c>
      <c r="U222" s="22">
        <f>($A$394*U219-U220)*$V$18/COS(S222)</f>
        <v>4.126358438772278E-05</v>
      </c>
      <c r="V222" s="22">
        <f>($A$394*V219-V220)*$V$18</f>
        <v>3.0373838121744338E-05</v>
      </c>
      <c r="W222" s="8">
        <f>360-W219</f>
        <v>328.04379184629886</v>
      </c>
      <c r="AL222" s="9"/>
    </row>
    <row r="223" spans="1:38" s="8" customFormat="1" ht="12.75">
      <c r="A223" s="16" t="s">
        <v>140</v>
      </c>
      <c r="B223" s="16" t="s">
        <v>140</v>
      </c>
      <c r="C223" s="16" t="s">
        <v>140</v>
      </c>
      <c r="D223" s="16" t="s">
        <v>140</v>
      </c>
      <c r="E223" s="16" t="s">
        <v>140</v>
      </c>
      <c r="F223" s="16" t="s">
        <v>140</v>
      </c>
      <c r="M223" s="16" t="s">
        <v>140</v>
      </c>
      <c r="N223" s="16" t="s">
        <v>200</v>
      </c>
      <c r="O223" s="16" t="s">
        <v>140</v>
      </c>
      <c r="P223" s="16" t="s">
        <v>140</v>
      </c>
      <c r="Q223" s="16" t="s">
        <v>140</v>
      </c>
      <c r="R223" s="16" t="s">
        <v>140</v>
      </c>
      <c r="S223" s="16" t="s">
        <v>140</v>
      </c>
      <c r="T223" s="16" t="s">
        <v>200</v>
      </c>
      <c r="U223" s="16" t="s">
        <v>140</v>
      </c>
      <c r="V223" s="16" t="s">
        <v>140</v>
      </c>
      <c r="W223" s="16" t="s">
        <v>140</v>
      </c>
      <c r="X223" s="16" t="s">
        <v>140</v>
      </c>
      <c r="Y223" s="16" t="s">
        <v>140</v>
      </c>
      <c r="Z223" s="16" t="s">
        <v>200</v>
      </c>
      <c r="AA223" s="16" t="s">
        <v>140</v>
      </c>
      <c r="AB223" s="16" t="s">
        <v>140</v>
      </c>
      <c r="AC223" s="16" t="s">
        <v>140</v>
      </c>
      <c r="AD223" s="16" t="s">
        <v>140</v>
      </c>
      <c r="AE223" s="16" t="s">
        <v>140</v>
      </c>
      <c r="AF223" s="16" t="s">
        <v>200</v>
      </c>
      <c r="AG223" s="16" t="s">
        <v>140</v>
      </c>
      <c r="AH223" s="16" t="s">
        <v>140</v>
      </c>
      <c r="AI223" s="16" t="s">
        <v>140</v>
      </c>
      <c r="AJ223" s="16" t="s">
        <v>140</v>
      </c>
      <c r="AK223" s="16" t="s">
        <v>140</v>
      </c>
      <c r="AL223" s="9"/>
    </row>
    <row r="224" spans="1:38" s="8" customFormat="1" ht="12.75">
      <c r="A224" s="16"/>
      <c r="B224" s="16"/>
      <c r="C224" s="16"/>
      <c r="D224" s="16"/>
      <c r="E224" s="16"/>
      <c r="F224" s="16"/>
      <c r="M224" s="23" t="s">
        <v>104</v>
      </c>
      <c r="N224" s="23" t="s">
        <v>139</v>
      </c>
      <c r="O224" s="23" t="s">
        <v>106</v>
      </c>
      <c r="P224" s="23" t="s">
        <v>107</v>
      </c>
      <c r="Q224" s="8" t="s">
        <v>114</v>
      </c>
      <c r="R224" s="8" t="s">
        <v>104</v>
      </c>
      <c r="S224" s="8" t="s">
        <v>118</v>
      </c>
      <c r="T224" s="8" t="s">
        <v>121</v>
      </c>
      <c r="U224" s="8" t="s">
        <v>125</v>
      </c>
      <c r="V224" s="8" t="s">
        <v>126</v>
      </c>
      <c r="W224" s="8" t="s">
        <v>104</v>
      </c>
      <c r="X224" s="8" t="s">
        <v>139</v>
      </c>
      <c r="Y224" s="8" t="s">
        <v>67</v>
      </c>
      <c r="Z224" s="8" t="s">
        <v>68</v>
      </c>
      <c r="AA224" s="8" t="s">
        <v>69</v>
      </c>
      <c r="AB224" s="8" t="s">
        <v>74</v>
      </c>
      <c r="AC224" s="8" t="s">
        <v>73</v>
      </c>
      <c r="AD224" s="8" t="s">
        <v>70</v>
      </c>
      <c r="AE224" s="24" t="s">
        <v>75</v>
      </c>
      <c r="AF224" s="8" t="s">
        <v>71</v>
      </c>
      <c r="AG224" s="8" t="s">
        <v>72</v>
      </c>
      <c r="AH224" s="25" t="s">
        <v>76</v>
      </c>
      <c r="AI224" s="25" t="s">
        <v>77</v>
      </c>
      <c r="AJ224" s="24" t="s">
        <v>78</v>
      </c>
      <c r="AK224" s="24" t="s">
        <v>79</v>
      </c>
      <c r="AL224" s="9"/>
    </row>
    <row r="225" spans="1:38" s="8" customFormat="1" ht="12.75">
      <c r="A225" s="16" t="s">
        <v>200</v>
      </c>
      <c r="B225" s="26">
        <v>48</v>
      </c>
      <c r="C225" s="27">
        <v>1.9</v>
      </c>
      <c r="D225" s="18" t="s">
        <v>165</v>
      </c>
      <c r="E225" s="11">
        <f>TRUNC(W228)</f>
        <v>83</v>
      </c>
      <c r="F225" s="12">
        <f>ABS(W228-E225)*60</f>
        <v>46.54388008965839</v>
      </c>
      <c r="M225" s="23">
        <v>18</v>
      </c>
      <c r="N225" s="23">
        <v>-34</v>
      </c>
      <c r="O225" s="23">
        <v>-0.03961</v>
      </c>
      <c r="P225" s="23">
        <v>-0.12405</v>
      </c>
      <c r="Q225" s="8">
        <f>COS(P228)*SIN(O228+$B$381)</f>
        <v>-0.8205682978075657</v>
      </c>
      <c r="R225" s="8">
        <f>DEGREES(ATAN2(Q226,Q225))+$C$381</f>
        <v>-83.77451347507281</v>
      </c>
      <c r="S225" s="8">
        <f>RADIANS(R226)</f>
        <v>4.821044217783209</v>
      </c>
      <c r="T225" s="8">
        <f>(COS($D$373)+SIN($D$373)*SIN(S225)*TAN(S228))*$A$370-COS(S225)*TAN(S228)*$A$373</f>
        <v>0.00010056131895875347</v>
      </c>
      <c r="U225" s="8">
        <f>COS(S225)*COS($D$394)*COS($D$373)+SIN(S225)*SIN($D$394)</f>
        <v>-0.9907232528274462</v>
      </c>
      <c r="V225" s="8">
        <f>COS($D$394)*COS($D$373)*(TAN($D$373)*COS(S228)-SIN(S225)*SIN(S228))+COS(S225)*SIN(S228)*SIN($D$394)</f>
        <v>-0.01722420951739346</v>
      </c>
      <c r="W225" s="8">
        <f>DEGREES(U228+T225+S225)</f>
        <v>276.22426866517236</v>
      </c>
      <c r="X225" s="8">
        <f>DEGREES(V228+T228+S228)</f>
        <v>-34.378382496633954</v>
      </c>
      <c r="Y225" s="28">
        <f>V228+T228+S228</f>
        <v>-0.6000159660762509</v>
      </c>
      <c r="Z225" s="8">
        <f>RADIANS(A227)</f>
        <v>0.07979509602148671</v>
      </c>
      <c r="AA225" s="8">
        <f>Z225+$K$2</f>
        <v>-2.0146000063717087</v>
      </c>
      <c r="AB225" s="8">
        <f>DEGREES(AA225)</f>
        <v>-115.42807777212766</v>
      </c>
      <c r="AC225" s="8">
        <f>AB225-INT(AB225/360)*360</f>
        <v>244.57192222787234</v>
      </c>
      <c r="AD225" s="28">
        <f>SIN(Y225)*SIN($J$2)+COS(Y225)*COS($J$2)*COS(AA225)</f>
        <v>-0.02457156167755209</v>
      </c>
      <c r="AE225" s="28">
        <f>ASIN(AD225)</f>
        <v>-0.024574034910646546</v>
      </c>
      <c r="AF225" s="28">
        <f>(SIN(Y225)-SIN($J$2)*AD225)/(COS($J$2)*COS(AE225))</f>
        <v>-0.6663957840856912</v>
      </c>
      <c r="AG225" s="8">
        <f>DEGREES(ACOS(AF225))</f>
        <v>131.78949543846903</v>
      </c>
      <c r="AH225" s="8">
        <f>IF(AC225&gt;180,AG225,360-AG225)</f>
        <v>131.78949543846903</v>
      </c>
      <c r="AI225" s="8">
        <f>DEGREES(AE225)</f>
        <v>-1.407988485987192</v>
      </c>
      <c r="AJ225" s="28">
        <f>$C$5-AI225</f>
        <v>68.26465515265386</v>
      </c>
      <c r="AK225" s="29">
        <f>$D$5-AH225</f>
        <v>96.11050456153097</v>
      </c>
      <c r="AL225" s="9">
        <f>AJ225*AJ225+AK225*AK225</f>
        <v>13897.292230182818</v>
      </c>
    </row>
    <row r="226" spans="1:38" s="8" customFormat="1" ht="12.75">
      <c r="A226" s="16" t="s">
        <v>137</v>
      </c>
      <c r="B226" s="16" t="s">
        <v>138</v>
      </c>
      <c r="C226" s="16" t="s">
        <v>135</v>
      </c>
      <c r="D226" s="16" t="s">
        <v>139</v>
      </c>
      <c r="E226" s="16" t="s">
        <v>138</v>
      </c>
      <c r="F226" s="16" t="s">
        <v>135</v>
      </c>
      <c r="M226" s="23">
        <v>24</v>
      </c>
      <c r="N226" s="23">
        <v>-23</v>
      </c>
      <c r="O226" s="8" t="s">
        <v>110</v>
      </c>
      <c r="P226" s="8" t="s">
        <v>111</v>
      </c>
      <c r="Q226" s="8">
        <f>COS($F$381)*COS(P228)*COS(O228+$B$381)-SIN($F$381)*SIN(P228)</f>
        <v>0.08849037509252855</v>
      </c>
      <c r="R226" s="8">
        <f>R225-360*INT(R225/360)</f>
        <v>276.2254865249272</v>
      </c>
      <c r="U226" s="8">
        <f>COS(S225)*COS($D$389)*COS($D$373)+SIN(S225)*SIN($D$389)</f>
        <v>0.99526221854621</v>
      </c>
      <c r="V226" s="8">
        <f>COS($D$389)*COS($D$373)*(TAN($D$373)*COS(S228)-SIN(S225)*SIN(S228))+COS(S225)*SIN(S228)*SIN($D$389)</f>
        <v>0.025432637607694146</v>
      </c>
      <c r="AL226" s="9"/>
    </row>
    <row r="227" spans="1:38" s="8" customFormat="1" ht="12.75">
      <c r="A227" s="10">
        <f>($C$376+E225+F225/60)-INT(($C$376+E225+F225/60)/360)*360</f>
        <v>4.571922227872335</v>
      </c>
      <c r="B227" s="11">
        <f>TRUNC(A227)</f>
        <v>4</v>
      </c>
      <c r="C227" s="12">
        <f>(A227-B227)*60</f>
        <v>34.3153336723401</v>
      </c>
      <c r="D227" s="32" t="str">
        <f>IF(X225&gt;=0,"N","S")</f>
        <v>S</v>
      </c>
      <c r="E227" s="11">
        <f>ABS(TRUNC(X225))</f>
        <v>34</v>
      </c>
      <c r="F227" s="12">
        <f>ABS(X225-TRUNC(X225))*60</f>
        <v>22.702949798037224</v>
      </c>
      <c r="M227" s="30">
        <v>10.318</v>
      </c>
      <c r="N227" s="30">
        <v>-4.62</v>
      </c>
      <c r="O227" s="31">
        <f>M228+O225/3600*$A$367</f>
        <v>276.04287062855667</v>
      </c>
      <c r="P227" s="31">
        <f>N228+P225/3600*$A$367</f>
        <v>-34.384995731992106</v>
      </c>
      <c r="Q227" s="31">
        <f>SIN($F$381)*COS(P228)*COS(O228+$B$381)+COS($F$381)*SIN(P228)</f>
        <v>-0.5646566409325032</v>
      </c>
      <c r="R227" s="31" t="s">
        <v>139</v>
      </c>
      <c r="S227" s="20" t="s">
        <v>119</v>
      </c>
      <c r="T227" s="20" t="s">
        <v>122</v>
      </c>
      <c r="U227" s="20" t="s">
        <v>121</v>
      </c>
      <c r="V227" s="20" t="s">
        <v>122</v>
      </c>
      <c r="W227" s="20" t="s">
        <v>130</v>
      </c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9"/>
    </row>
    <row r="228" spans="1:38" s="8" customFormat="1" ht="12.75">
      <c r="A228" s="16"/>
      <c r="B228" s="16"/>
      <c r="C228" s="16"/>
      <c r="D228" s="16"/>
      <c r="E228" s="16"/>
      <c r="F228" s="16"/>
      <c r="M228" s="24">
        <f>(M225+M226/60+M227/3600)*15</f>
        <v>276.04299166666664</v>
      </c>
      <c r="N228" s="24">
        <f>N225+N226/60+N227/3600</f>
        <v>-34.384616666666666</v>
      </c>
      <c r="O228" s="8">
        <f>RADIANS(O227)</f>
        <v>4.817856969125063</v>
      </c>
      <c r="P228" s="8">
        <f>RADIANS(P227)</f>
        <v>-0.60013138880746</v>
      </c>
      <c r="R228" s="8">
        <f>DEGREES(ASIN(Q227))</f>
        <v>-34.378451240917485</v>
      </c>
      <c r="S228" s="8">
        <f>RADIANS(R228)</f>
        <v>-0.6000171658903405</v>
      </c>
      <c r="T228" s="8">
        <f>SIN($D$373)*COS(S225)*$A$370+SIN(S225)*$A$373</f>
        <v>3.7555189467060547E-06</v>
      </c>
      <c r="U228" s="22">
        <f>($A$394*U225-U226)*$V$18/COS(S228)</f>
        <v>-0.00012181698150819347</v>
      </c>
      <c r="V228" s="22">
        <f>($A$394*V225-V226)*$V$18</f>
        <v>-2.5557048570379328E-06</v>
      </c>
      <c r="W228" s="8">
        <f>360-W225</f>
        <v>83.77573133482764</v>
      </c>
      <c r="AL228" s="9"/>
    </row>
    <row r="229" spans="1:38" s="8" customFormat="1" ht="12.75">
      <c r="A229" s="16" t="s">
        <v>140</v>
      </c>
      <c r="B229" s="16" t="s">
        <v>140</v>
      </c>
      <c r="C229" s="16" t="s">
        <v>140</v>
      </c>
      <c r="D229" s="16" t="s">
        <v>140</v>
      </c>
      <c r="E229" s="16" t="s">
        <v>140</v>
      </c>
      <c r="F229" s="16" t="s">
        <v>140</v>
      </c>
      <c r="M229" s="16" t="s">
        <v>140</v>
      </c>
      <c r="N229" s="16" t="s">
        <v>0</v>
      </c>
      <c r="O229" s="16" t="s">
        <v>140</v>
      </c>
      <c r="P229" s="16" t="s">
        <v>140</v>
      </c>
      <c r="Q229" s="16" t="s">
        <v>140</v>
      </c>
      <c r="R229" s="16" t="s">
        <v>140</v>
      </c>
      <c r="S229" s="16" t="s">
        <v>140</v>
      </c>
      <c r="T229" s="16" t="s">
        <v>0</v>
      </c>
      <c r="U229" s="16" t="s">
        <v>140</v>
      </c>
      <c r="V229" s="16" t="s">
        <v>140</v>
      </c>
      <c r="W229" s="16" t="s">
        <v>140</v>
      </c>
      <c r="X229" s="16" t="s">
        <v>140</v>
      </c>
      <c r="Y229" s="16" t="s">
        <v>140</v>
      </c>
      <c r="Z229" s="16" t="s">
        <v>0</v>
      </c>
      <c r="AA229" s="16" t="s">
        <v>140</v>
      </c>
      <c r="AB229" s="16" t="s">
        <v>140</v>
      </c>
      <c r="AC229" s="16" t="s">
        <v>140</v>
      </c>
      <c r="AD229" s="16" t="s">
        <v>140</v>
      </c>
      <c r="AE229" s="16" t="s">
        <v>140</v>
      </c>
      <c r="AF229" s="16" t="s">
        <v>0</v>
      </c>
      <c r="AG229" s="16" t="s">
        <v>140</v>
      </c>
      <c r="AH229" s="16" t="s">
        <v>140</v>
      </c>
      <c r="AI229" s="16" t="s">
        <v>140</v>
      </c>
      <c r="AJ229" s="16" t="s">
        <v>140</v>
      </c>
      <c r="AK229" s="16" t="s">
        <v>140</v>
      </c>
      <c r="AL229" s="9"/>
    </row>
    <row r="230" spans="1:38" s="8" customFormat="1" ht="12.75">
      <c r="A230" s="16"/>
      <c r="B230" s="16"/>
      <c r="C230" s="16"/>
      <c r="D230" s="16"/>
      <c r="E230" s="16"/>
      <c r="F230" s="16"/>
      <c r="M230" s="23" t="s">
        <v>104</v>
      </c>
      <c r="N230" s="23" t="s">
        <v>139</v>
      </c>
      <c r="O230" s="23" t="s">
        <v>106</v>
      </c>
      <c r="P230" s="23" t="s">
        <v>107</v>
      </c>
      <c r="Q230" s="8" t="s">
        <v>114</v>
      </c>
      <c r="R230" s="8" t="s">
        <v>104</v>
      </c>
      <c r="S230" s="8" t="s">
        <v>118</v>
      </c>
      <c r="T230" s="8" t="s">
        <v>121</v>
      </c>
      <c r="U230" s="8" t="s">
        <v>125</v>
      </c>
      <c r="V230" s="8" t="s">
        <v>126</v>
      </c>
      <c r="W230" s="8" t="s">
        <v>104</v>
      </c>
      <c r="X230" s="8" t="s">
        <v>139</v>
      </c>
      <c r="Y230" s="8" t="s">
        <v>67</v>
      </c>
      <c r="Z230" s="8" t="s">
        <v>68</v>
      </c>
      <c r="AA230" s="8" t="s">
        <v>69</v>
      </c>
      <c r="AB230" s="8" t="s">
        <v>74</v>
      </c>
      <c r="AC230" s="8" t="s">
        <v>73</v>
      </c>
      <c r="AD230" s="8" t="s">
        <v>70</v>
      </c>
      <c r="AE230" s="24" t="s">
        <v>75</v>
      </c>
      <c r="AF230" s="8" t="s">
        <v>71</v>
      </c>
      <c r="AG230" s="8" t="s">
        <v>72</v>
      </c>
      <c r="AH230" s="25" t="s">
        <v>76</v>
      </c>
      <c r="AI230" s="25" t="s">
        <v>77</v>
      </c>
      <c r="AJ230" s="24" t="s">
        <v>78</v>
      </c>
      <c r="AK230" s="24" t="s">
        <v>79</v>
      </c>
      <c r="AL230" s="9"/>
    </row>
    <row r="231" spans="1:38" s="8" customFormat="1" ht="12.75">
      <c r="A231" s="16" t="s">
        <v>0</v>
      </c>
      <c r="B231" s="26">
        <v>40</v>
      </c>
      <c r="C231" s="27">
        <v>2.1</v>
      </c>
      <c r="D231" s="18" t="s">
        <v>165</v>
      </c>
      <c r="E231" s="11">
        <f>TRUNC(W234)</f>
        <v>137</v>
      </c>
      <c r="F231" s="12">
        <f>ABS(W234-E231)*60</f>
        <v>20.42514415255482</v>
      </c>
      <c r="M231" s="23">
        <v>14</v>
      </c>
      <c r="N231" s="23">
        <v>74</v>
      </c>
      <c r="O231" s="23">
        <v>-0.03229</v>
      </c>
      <c r="P231" s="23">
        <v>0.01191</v>
      </c>
      <c r="Q231" s="8">
        <f>COS(P234)*SIN(O234+$B$381)</f>
        <v>-0.18531935441599484</v>
      </c>
      <c r="R231" s="8">
        <f>DEGREES(ATAN2(Q232,Q231))+$C$381</f>
        <v>-137.32884463059474</v>
      </c>
      <c r="S231" s="8">
        <f>RADIANS(R232)</f>
        <v>3.886344810415972</v>
      </c>
      <c r="T231" s="8">
        <f>(COS($D$373)+SIN($D$373)*SIN(S231)*TAN(S234))*$A$370-COS(S231)*TAN(S234)*$A$373</f>
        <v>-2.7749810037592955E-06</v>
      </c>
      <c r="U231" s="8">
        <f>COS(S231)*COS($D$394)*COS($D$373)+SIN(S231)*SIN($D$394)</f>
        <v>-0.5068786458507296</v>
      </c>
      <c r="V231" s="8">
        <f>COS($D$394)*COS($D$373)*(TAN($D$373)*COS(S234)-SIN(S231)*SIN(S234))+COS(S231)*SIN(S234)*SIN($D$394)</f>
        <v>-0.8492474727340864</v>
      </c>
      <c r="W231" s="8">
        <f>DEGREES(U234+T231+S231)</f>
        <v>222.65958093079075</v>
      </c>
      <c r="X231" s="8">
        <f>DEGREES(V234+T234+S234)</f>
        <v>74.10431329527444</v>
      </c>
      <c r="Y231" s="28">
        <f>V234+T234+S234</f>
        <v>1.293364256931948</v>
      </c>
      <c r="Z231" s="8">
        <f>RADIANS(A233)</f>
        <v>1.0146752597890676</v>
      </c>
      <c r="AA231" s="8">
        <f>Z231+$K$2</f>
        <v>-1.0797198426041277</v>
      </c>
      <c r="AB231" s="8">
        <f>DEGREES(AA231)</f>
        <v>-61.86339003774605</v>
      </c>
      <c r="AC231" s="8">
        <f>AB231-INT(AB231/360)*360</f>
        <v>298.13660996225394</v>
      </c>
      <c r="AD231" s="28">
        <f>SIN(Y231)*SIN($J$2)+COS(Y231)*COS($J$2)*COS(AA231)</f>
        <v>-0.3690266015404988</v>
      </c>
      <c r="AE231" s="28">
        <f>ASIN(AD231)</f>
        <v>-0.3779614831641819</v>
      </c>
      <c r="AF231" s="28">
        <f>(SIN(Y231)-SIN($J$2)*AD231)/(COS($J$2)*COS(AE231))</f>
        <v>0.9656458203487234</v>
      </c>
      <c r="AG231" s="8">
        <f>DEGREES(ACOS(AF231))</f>
        <v>15.061861383693158</v>
      </c>
      <c r="AH231" s="8">
        <f>IF(AC231&gt;180,AG231,360-AG231)</f>
        <v>15.061861383693158</v>
      </c>
      <c r="AI231" s="8">
        <f>DEGREES(AE231)</f>
        <v>-21.65559780381254</v>
      </c>
      <c r="AJ231" s="28">
        <f>$C$5-AI231</f>
        <v>88.51226447047921</v>
      </c>
      <c r="AK231" s="29">
        <f>$D$5-AH231</f>
        <v>212.83813861630685</v>
      </c>
      <c r="AL231" s="9">
        <f>AJ231*AJ231+AK231*AK231</f>
        <v>53134.494211346304</v>
      </c>
    </row>
    <row r="232" spans="1:38" s="8" customFormat="1" ht="12.75">
      <c r="A232" s="16" t="s">
        <v>137</v>
      </c>
      <c r="B232" s="16" t="s">
        <v>138</v>
      </c>
      <c r="C232" s="16" t="s">
        <v>135</v>
      </c>
      <c r="D232" s="16" t="s">
        <v>139</v>
      </c>
      <c r="E232" s="16" t="s">
        <v>138</v>
      </c>
      <c r="F232" s="16" t="s">
        <v>135</v>
      </c>
      <c r="M232" s="23">
        <v>50</v>
      </c>
      <c r="N232" s="23">
        <v>9</v>
      </c>
      <c r="O232" s="8" t="s">
        <v>110</v>
      </c>
      <c r="P232" s="8" t="s">
        <v>111</v>
      </c>
      <c r="Q232" s="8">
        <f>COS($F$381)*COS(P234)*COS(O234+$B$381)-SIN($F$381)*SIN(P234)</f>
        <v>-0.20152848691424177</v>
      </c>
      <c r="R232" s="8">
        <f>R231-360*INT(R231/360)</f>
        <v>222.67115536940526</v>
      </c>
      <c r="U232" s="8">
        <f>COS(S231)*COS($D$389)*COS($D$373)+SIN(S231)*SIN($D$389)</f>
        <v>0.5404953001902142</v>
      </c>
      <c r="V232" s="8">
        <f>COS($D$389)*COS($D$373)*(TAN($D$373)*COS(S234)-SIN(S231)*SIN(S234))+COS(S231)*SIN(S234)*SIN($D$389)</f>
        <v>0.8263203275247939</v>
      </c>
      <c r="AL232" s="9"/>
    </row>
    <row r="233" spans="1:38" s="8" customFormat="1" ht="12.75">
      <c r="A233" s="10">
        <f>($C$376+E231+F231/60)-INT(($C$376+E231+F231/60)/360)*360</f>
        <v>58.13660996225394</v>
      </c>
      <c r="B233" s="11">
        <f>TRUNC(A233)</f>
        <v>58</v>
      </c>
      <c r="C233" s="12">
        <f>(A233-B233)*60</f>
        <v>8.196597735236537</v>
      </c>
      <c r="D233" s="32" t="str">
        <f>IF(X231&gt;=0,"N","S")</f>
        <v>N</v>
      </c>
      <c r="E233" s="11">
        <f>ABS(TRUNC(X231))</f>
        <v>74</v>
      </c>
      <c r="F233" s="12">
        <f>ABS(X231-TRUNC(X231))*60</f>
        <v>6.258797716466233</v>
      </c>
      <c r="M233" s="30">
        <v>42.326</v>
      </c>
      <c r="N233" s="30">
        <v>19.82</v>
      </c>
      <c r="O233" s="31">
        <f>M234+O231/3600*$A$367</f>
        <v>222.67625966328612</v>
      </c>
      <c r="P233" s="31">
        <f>N234+P231/3600*$A$367</f>
        <v>74.1555419494937</v>
      </c>
      <c r="Q233" s="31">
        <f>SIN($F$381)*COS(P234)*COS(O234+$B$381)+COS($F$381)*SIN(P234)</f>
        <v>0.9617915604957735</v>
      </c>
      <c r="R233" s="31" t="s">
        <v>139</v>
      </c>
      <c r="S233" s="20" t="s">
        <v>119</v>
      </c>
      <c r="T233" s="20" t="s">
        <v>122</v>
      </c>
      <c r="U233" s="20" t="s">
        <v>121</v>
      </c>
      <c r="V233" s="20" t="s">
        <v>122</v>
      </c>
      <c r="W233" s="20" t="s">
        <v>130</v>
      </c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9"/>
    </row>
    <row r="234" spans="1:38" s="8" customFormat="1" ht="12.75">
      <c r="A234" s="16"/>
      <c r="B234" s="16"/>
      <c r="C234" s="16"/>
      <c r="D234" s="16"/>
      <c r="E234" s="16"/>
      <c r="F234" s="16"/>
      <c r="M234" s="24">
        <f>(M231+M232/60+M233/3600)*15</f>
        <v>222.67635833333335</v>
      </c>
      <c r="N234" s="24">
        <f>N231+N232/60+N233/3600</f>
        <v>74.15550555555556</v>
      </c>
      <c r="O234" s="8">
        <f>RADIANS(O233)</f>
        <v>3.8864338971501824</v>
      </c>
      <c r="P234" s="8">
        <f>RADIANS(P233)</f>
        <v>1.2942583656194395</v>
      </c>
      <c r="R234" s="8">
        <f>DEGREES(ASIN(Q233))</f>
        <v>74.11051285938053</v>
      </c>
      <c r="S234" s="8">
        <f>RADIANS(R234)</f>
        <v>1.2934724597377878</v>
      </c>
      <c r="T234" s="8">
        <f>SIN($D$373)*COS(S231)*$A$370+SIN(S231)*$A$373</f>
        <v>-2.4685839413106483E-05</v>
      </c>
      <c r="U234" s="22">
        <f>($A$394*U231-U232)*$V$18/COS(S234)</f>
        <v>-0.00019923708188888267</v>
      </c>
      <c r="V234" s="22">
        <f>($A$394*V231-V232)*$V$18</f>
        <v>-8.351696642684128E-05</v>
      </c>
      <c r="W234" s="8">
        <f>360-W231</f>
        <v>137.34041906920925</v>
      </c>
      <c r="AL234" s="9"/>
    </row>
    <row r="235" spans="1:38" s="8" customFormat="1" ht="12.75">
      <c r="A235" s="16" t="s">
        <v>140</v>
      </c>
      <c r="B235" s="16" t="s">
        <v>140</v>
      </c>
      <c r="C235" s="16" t="s">
        <v>140</v>
      </c>
      <c r="D235" s="16" t="s">
        <v>140</v>
      </c>
      <c r="E235" s="16" t="s">
        <v>140</v>
      </c>
      <c r="F235" s="16" t="s">
        <v>140</v>
      </c>
      <c r="M235" s="16" t="s">
        <v>140</v>
      </c>
      <c r="N235" s="16" t="s">
        <v>1</v>
      </c>
      <c r="O235" s="16" t="s">
        <v>140</v>
      </c>
      <c r="P235" s="16" t="s">
        <v>140</v>
      </c>
      <c r="Q235" s="16" t="s">
        <v>140</v>
      </c>
      <c r="R235" s="16" t="s">
        <v>140</v>
      </c>
      <c r="S235" s="16" t="s">
        <v>140</v>
      </c>
      <c r="T235" s="16" t="s">
        <v>1</v>
      </c>
      <c r="U235" s="16" t="s">
        <v>140</v>
      </c>
      <c r="V235" s="16" t="s">
        <v>140</v>
      </c>
      <c r="W235" s="16" t="s">
        <v>140</v>
      </c>
      <c r="X235" s="16" t="s">
        <v>140</v>
      </c>
      <c r="Y235" s="16" t="s">
        <v>140</v>
      </c>
      <c r="Z235" s="16" t="s">
        <v>1</v>
      </c>
      <c r="AA235" s="16" t="s">
        <v>140</v>
      </c>
      <c r="AB235" s="16" t="s">
        <v>140</v>
      </c>
      <c r="AC235" s="16" t="s">
        <v>140</v>
      </c>
      <c r="AD235" s="16" t="s">
        <v>140</v>
      </c>
      <c r="AE235" s="16" t="s">
        <v>140</v>
      </c>
      <c r="AF235" s="16" t="s">
        <v>1</v>
      </c>
      <c r="AG235" s="16" t="s">
        <v>140</v>
      </c>
      <c r="AH235" s="16" t="s">
        <v>140</v>
      </c>
      <c r="AI235" s="16" t="s">
        <v>140</v>
      </c>
      <c r="AJ235" s="16" t="s">
        <v>140</v>
      </c>
      <c r="AK235" s="16" t="s">
        <v>140</v>
      </c>
      <c r="AL235" s="9"/>
    </row>
    <row r="236" spans="1:38" s="8" customFormat="1" ht="12.75">
      <c r="A236" s="16"/>
      <c r="B236" s="16"/>
      <c r="C236" s="16"/>
      <c r="D236" s="16"/>
      <c r="E236" s="16"/>
      <c r="F236" s="16"/>
      <c r="M236" s="23" t="s">
        <v>104</v>
      </c>
      <c r="N236" s="23" t="s">
        <v>139</v>
      </c>
      <c r="O236" s="23" t="s">
        <v>106</v>
      </c>
      <c r="P236" s="23" t="s">
        <v>107</v>
      </c>
      <c r="Q236" s="8" t="s">
        <v>114</v>
      </c>
      <c r="R236" s="8" t="s">
        <v>104</v>
      </c>
      <c r="S236" s="8" t="s">
        <v>118</v>
      </c>
      <c r="T236" s="8" t="s">
        <v>121</v>
      </c>
      <c r="U236" s="8" t="s">
        <v>125</v>
      </c>
      <c r="V236" s="8" t="s">
        <v>126</v>
      </c>
      <c r="W236" s="8" t="s">
        <v>104</v>
      </c>
      <c r="X236" s="8" t="s">
        <v>139</v>
      </c>
      <c r="Y236" s="8" t="s">
        <v>67</v>
      </c>
      <c r="Z236" s="8" t="s">
        <v>68</v>
      </c>
      <c r="AA236" s="8" t="s">
        <v>69</v>
      </c>
      <c r="AB236" s="8" t="s">
        <v>74</v>
      </c>
      <c r="AC236" s="8" t="s">
        <v>73</v>
      </c>
      <c r="AD236" s="8" t="s">
        <v>70</v>
      </c>
      <c r="AE236" s="24" t="s">
        <v>75</v>
      </c>
      <c r="AF236" s="8" t="s">
        <v>71</v>
      </c>
      <c r="AG236" s="8" t="s">
        <v>72</v>
      </c>
      <c r="AH236" s="25" t="s">
        <v>76</v>
      </c>
      <c r="AI236" s="25" t="s">
        <v>77</v>
      </c>
      <c r="AJ236" s="24" t="s">
        <v>78</v>
      </c>
      <c r="AK236" s="24" t="s">
        <v>79</v>
      </c>
      <c r="AL236" s="9"/>
    </row>
    <row r="237" spans="1:38" s="8" customFormat="1" ht="12.75">
      <c r="A237" s="16" t="s">
        <v>1</v>
      </c>
      <c r="B237" s="26">
        <v>57</v>
      </c>
      <c r="C237" s="27">
        <v>2.5</v>
      </c>
      <c r="D237" s="18" t="s">
        <v>165</v>
      </c>
      <c r="E237" s="11">
        <f>TRUNC(W240)</f>
        <v>13</v>
      </c>
      <c r="F237" s="12">
        <f>ABS(W240-E237)*60</f>
        <v>40.239951364258104</v>
      </c>
      <c r="M237" s="23">
        <v>23</v>
      </c>
      <c r="N237" s="23">
        <v>15</v>
      </c>
      <c r="O237" s="23">
        <v>0.0611</v>
      </c>
      <c r="P237" s="23">
        <v>-0.04256</v>
      </c>
      <c r="Q237" s="8">
        <f>COS(P240)*SIN(O240+$B$381)</f>
        <v>-0.22918714458076037</v>
      </c>
      <c r="R237" s="8">
        <f>DEGREES(ATAN2(Q238,Q237))+$C$381</f>
        <v>-13.672601321123654</v>
      </c>
      <c r="S237" s="8">
        <f>RADIANS(R238)</f>
        <v>6.044553396813453</v>
      </c>
      <c r="T237" s="8">
        <f>(COS($D$373)+SIN($D$373)*SIN(S237)*TAN(S240))*$A$370-COS(S237)*TAN(S240)*$A$373</f>
        <v>7.552421006589972E-05</v>
      </c>
      <c r="U237" s="8">
        <f>COS(S237)*COS($D$394)*COS($D$373)+SIN(S237)*SIN($D$394)</f>
        <v>-0.43265693400131144</v>
      </c>
      <c r="V237" s="8">
        <f>COS($D$394)*COS($D$373)*(TAN($D$373)*COS(S240)-SIN(S237)*SIN(S240))+COS(S237)*SIN(S240)*SIN($D$394)</f>
        <v>0.14902181581649157</v>
      </c>
      <c r="W237" s="8">
        <f>DEGREES(U240+T237+S237)</f>
        <v>346.32933414392903</v>
      </c>
      <c r="X237" s="8">
        <f>DEGREES(V240+T240+S240)</f>
        <v>15.26748050447786</v>
      </c>
      <c r="Y237" s="28">
        <f>V240+T240+S240</f>
        <v>0.2664678032871835</v>
      </c>
      <c r="Z237" s="8">
        <f>RADIANS(A239)</f>
        <v>5.1394161882705545</v>
      </c>
      <c r="AA237" s="8">
        <f>Z237+$K$2</f>
        <v>3.045021085877359</v>
      </c>
      <c r="AB237" s="8">
        <f>DEGREES(AA237)</f>
        <v>174.4668567491157</v>
      </c>
      <c r="AC237" s="8">
        <f>AB237-INT(AB237/360)*360</f>
        <v>174.4668567491157</v>
      </c>
      <c r="AD237" s="28">
        <f>SIN(Y237)*SIN($J$2)+COS(Y237)*COS($J$2)*COS(AA237)</f>
        <v>-0.963230815802526</v>
      </c>
      <c r="AE237" s="28">
        <f>ASIN(AD237)</f>
        <v>-1.298778868353547</v>
      </c>
      <c r="AF237" s="28">
        <f>(SIN(Y237)-SIN($J$2)*AD237)/(COS($J$2)*COS(AE237))</f>
        <v>-0.9381563992882301</v>
      </c>
      <c r="AG237" s="8">
        <f>DEGREES(ACOS(AF237))</f>
        <v>159.74421742474567</v>
      </c>
      <c r="AH237" s="8">
        <f>IF(AC237&gt;180,AG237,360-AG237)</f>
        <v>200.25578257525433</v>
      </c>
      <c r="AI237" s="8">
        <f>DEGREES(AE237)</f>
        <v>-74.41454767743541</v>
      </c>
      <c r="AJ237" s="28">
        <f>$C$5-AI237</f>
        <v>141.27121434410208</v>
      </c>
      <c r="AK237" s="29">
        <f>$D$5-AH237</f>
        <v>27.644217424745676</v>
      </c>
      <c r="AL237" s="9">
        <f>AJ237*AJ237+AK237*AK237</f>
        <v>20721.758759283843</v>
      </c>
    </row>
    <row r="238" spans="1:38" s="8" customFormat="1" ht="12.75">
      <c r="A238" s="16" t="s">
        <v>137</v>
      </c>
      <c r="B238" s="16" t="s">
        <v>138</v>
      </c>
      <c r="C238" s="16" t="s">
        <v>135</v>
      </c>
      <c r="D238" s="16" t="s">
        <v>139</v>
      </c>
      <c r="E238" s="16" t="s">
        <v>138</v>
      </c>
      <c r="F238" s="16" t="s">
        <v>135</v>
      </c>
      <c r="M238" s="23">
        <v>4</v>
      </c>
      <c r="N238" s="23">
        <v>12</v>
      </c>
      <c r="O238" s="8" t="s">
        <v>110</v>
      </c>
      <c r="P238" s="8" t="s">
        <v>111</v>
      </c>
      <c r="Q238" s="8">
        <f>COS($F$381)*COS(P240)*COS(O240+$B$381)-SIN($F$381)*SIN(P240)</f>
        <v>0.9371009632411446</v>
      </c>
      <c r="R238" s="8">
        <f>R237-360*INT(R237/360)</f>
        <v>346.32739867887636</v>
      </c>
      <c r="U238" s="8">
        <f>COS(S237)*COS($D$389)*COS($D$373)+SIN(S237)*SIN($D$389)</f>
        <v>0.3980586265054223</v>
      </c>
      <c r="V238" s="8">
        <f>COS($D$389)*COS($D$373)*(TAN($D$373)*COS(S240)-SIN(S237)*SIN(S240))+COS(S237)*SIN(S240)*SIN($D$389)</f>
        <v>-0.16936491810597779</v>
      </c>
      <c r="AL238" s="9"/>
    </row>
    <row r="239" spans="1:38" s="8" customFormat="1" ht="12.75">
      <c r="A239" s="10">
        <f>($C$376+E237+F237/60)-INT(($C$376+E237+F237/60)/360)*360</f>
        <v>294.46685674911566</v>
      </c>
      <c r="B239" s="11">
        <f>TRUNC(A239)</f>
        <v>294</v>
      </c>
      <c r="C239" s="12">
        <f>(A239-B239)*60</f>
        <v>28.01140494693982</v>
      </c>
      <c r="D239" s="32" t="str">
        <f>IF(X237&gt;=0,"N","S")</f>
        <v>N</v>
      </c>
      <c r="E239" s="11">
        <f>ABS(TRUNC(X237))</f>
        <v>15</v>
      </c>
      <c r="F239" s="12">
        <f>ABS(X237-TRUNC(X237))*60</f>
        <v>16.048830268671566</v>
      </c>
      <c r="M239" s="30">
        <v>45.654</v>
      </c>
      <c r="N239" s="30">
        <v>18.95</v>
      </c>
      <c r="O239" s="31">
        <f>M240+O237/3600*$A$367</f>
        <v>346.1904117060974</v>
      </c>
      <c r="P239" s="31">
        <f>N240+P237/3600*$A$367</f>
        <v>15.205133836327414</v>
      </c>
      <c r="Q239" s="31">
        <f>SIN($F$381)*COS(P240)*COS(O240+$B$381)+COS($F$381)*SIN(P240)</f>
        <v>0.26327749134978634</v>
      </c>
      <c r="R239" s="31" t="s">
        <v>139</v>
      </c>
      <c r="S239" s="20" t="s">
        <v>119</v>
      </c>
      <c r="T239" s="20" t="s">
        <v>122</v>
      </c>
      <c r="U239" s="20" t="s">
        <v>121</v>
      </c>
      <c r="V239" s="20" t="s">
        <v>122</v>
      </c>
      <c r="W239" s="20" t="s">
        <v>130</v>
      </c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9"/>
    </row>
    <row r="240" spans="1:38" s="8" customFormat="1" ht="12.75">
      <c r="A240" s="16"/>
      <c r="B240" s="16"/>
      <c r="C240" s="16"/>
      <c r="D240" s="16"/>
      <c r="E240" s="16"/>
      <c r="F240" s="16"/>
      <c r="M240" s="24">
        <f>(M237+M238/60+M239/3600)*15</f>
        <v>346.190225</v>
      </c>
      <c r="N240" s="24">
        <f>N237+N238/60+N239/3600</f>
        <v>15.205263888888888</v>
      </c>
      <c r="O240" s="8">
        <f>RADIANS(O239)</f>
        <v>6.04216252310612</v>
      </c>
      <c r="P240" s="8">
        <f>RADIANS(P239)</f>
        <v>0.26537964865030994</v>
      </c>
      <c r="R240" s="8">
        <f>DEGREES(ASIN(Q239))</f>
        <v>15.264626143331533</v>
      </c>
      <c r="S240" s="8">
        <f>RADIANS(R240)</f>
        <v>0.2664179852871391</v>
      </c>
      <c r="T240" s="8">
        <f>SIN($D$373)*COS(S237)*$A$370+SIN(S237)*$A$373</f>
        <v>3.2741694872731665E-05</v>
      </c>
      <c r="U240" s="22">
        <f>($A$394*U237-U238)*$V$18/COS(S240)</f>
        <v>-4.1743972339908984E-05</v>
      </c>
      <c r="V240" s="22">
        <f>($A$394*V237-V238)*$V$18</f>
        <v>1.707630517166347E-05</v>
      </c>
      <c r="W240" s="8">
        <f>360-W237</f>
        <v>13.670665856070968</v>
      </c>
      <c r="AL240" s="9"/>
    </row>
    <row r="241" spans="1:38" s="8" customFormat="1" ht="12.75">
      <c r="A241" s="16" t="s">
        <v>140</v>
      </c>
      <c r="B241" s="16" t="s">
        <v>140</v>
      </c>
      <c r="C241" s="16" t="s">
        <v>140</v>
      </c>
      <c r="D241" s="16" t="s">
        <v>140</v>
      </c>
      <c r="E241" s="16" t="s">
        <v>140</v>
      </c>
      <c r="F241" s="16" t="s">
        <v>140</v>
      </c>
      <c r="M241" s="16" t="s">
        <v>140</v>
      </c>
      <c r="N241" s="16" t="s">
        <v>2</v>
      </c>
      <c r="O241" s="16" t="s">
        <v>140</v>
      </c>
      <c r="P241" s="16" t="s">
        <v>140</v>
      </c>
      <c r="Q241" s="16" t="s">
        <v>140</v>
      </c>
      <c r="R241" s="16" t="s">
        <v>140</v>
      </c>
      <c r="S241" s="16" t="s">
        <v>140</v>
      </c>
      <c r="T241" s="16" t="s">
        <v>2</v>
      </c>
      <c r="U241" s="16" t="s">
        <v>140</v>
      </c>
      <c r="V241" s="16" t="s">
        <v>140</v>
      </c>
      <c r="W241" s="16" t="s">
        <v>140</v>
      </c>
      <c r="X241" s="16" t="s">
        <v>140</v>
      </c>
      <c r="Y241" s="16" t="s">
        <v>140</v>
      </c>
      <c r="Z241" s="16" t="s">
        <v>2</v>
      </c>
      <c r="AA241" s="16" t="s">
        <v>140</v>
      </c>
      <c r="AB241" s="16" t="s">
        <v>140</v>
      </c>
      <c r="AC241" s="16" t="s">
        <v>140</v>
      </c>
      <c r="AD241" s="16" t="s">
        <v>140</v>
      </c>
      <c r="AE241" s="16" t="s">
        <v>140</v>
      </c>
      <c r="AF241" s="16" t="s">
        <v>2</v>
      </c>
      <c r="AG241" s="16" t="s">
        <v>140</v>
      </c>
      <c r="AH241" s="16" t="s">
        <v>140</v>
      </c>
      <c r="AI241" s="16" t="s">
        <v>140</v>
      </c>
      <c r="AJ241" s="16" t="s">
        <v>140</v>
      </c>
      <c r="AK241" s="16" t="s">
        <v>140</v>
      </c>
      <c r="AL241" s="9"/>
    </row>
    <row r="242" spans="1:38" s="8" customFormat="1" ht="12.75">
      <c r="A242" s="16"/>
      <c r="B242" s="16"/>
      <c r="C242" s="16"/>
      <c r="D242" s="16"/>
      <c r="E242" s="16"/>
      <c r="F242" s="16"/>
      <c r="M242" s="23" t="s">
        <v>104</v>
      </c>
      <c r="N242" s="23" t="s">
        <v>139</v>
      </c>
      <c r="O242" s="23" t="s">
        <v>106</v>
      </c>
      <c r="P242" s="23" t="s">
        <v>107</v>
      </c>
      <c r="Q242" s="8" t="s">
        <v>114</v>
      </c>
      <c r="R242" s="8" t="s">
        <v>104</v>
      </c>
      <c r="S242" s="8" t="s">
        <v>118</v>
      </c>
      <c r="T242" s="8" t="s">
        <v>121</v>
      </c>
      <c r="U242" s="8" t="s">
        <v>125</v>
      </c>
      <c r="V242" s="8" t="s">
        <v>126</v>
      </c>
      <c r="W242" s="8" t="s">
        <v>104</v>
      </c>
      <c r="X242" s="8" t="s">
        <v>139</v>
      </c>
      <c r="Y242" s="8" t="s">
        <v>67</v>
      </c>
      <c r="Z242" s="8" t="s">
        <v>68</v>
      </c>
      <c r="AA242" s="8" t="s">
        <v>69</v>
      </c>
      <c r="AB242" s="8" t="s">
        <v>74</v>
      </c>
      <c r="AC242" s="8" t="s">
        <v>73</v>
      </c>
      <c r="AD242" s="8" t="s">
        <v>70</v>
      </c>
      <c r="AE242" s="24" t="s">
        <v>75</v>
      </c>
      <c r="AF242" s="8" t="s">
        <v>71</v>
      </c>
      <c r="AG242" s="8" t="s">
        <v>72</v>
      </c>
      <c r="AH242" s="25" t="s">
        <v>76</v>
      </c>
      <c r="AI242" s="25" t="s">
        <v>77</v>
      </c>
      <c r="AJ242" s="24" t="s">
        <v>78</v>
      </c>
      <c r="AK242" s="24" t="s">
        <v>79</v>
      </c>
      <c r="AL242" s="9"/>
    </row>
    <row r="243" spans="1:38" s="8" customFormat="1" ht="12.75">
      <c r="A243" s="16" t="s">
        <v>2</v>
      </c>
      <c r="B243" s="26">
        <v>8</v>
      </c>
      <c r="C243" s="27">
        <v>2.5</v>
      </c>
      <c r="D243" s="18" t="s">
        <v>165</v>
      </c>
      <c r="E243" s="11">
        <f>TRUNC(W246)</f>
        <v>314</v>
      </c>
      <c r="F243" s="12">
        <f>ABS(W246-E243)*60</f>
        <v>16.687137335069337</v>
      </c>
      <c r="M243" s="23">
        <v>3</v>
      </c>
      <c r="N243" s="23">
        <v>4</v>
      </c>
      <c r="O243" s="23">
        <v>-0.01181</v>
      </c>
      <c r="P243" s="23">
        <v>-0.07876</v>
      </c>
      <c r="Q243" s="8">
        <f>COS(P246)*SIN(O246+$B$381)</f>
        <v>0.7131444850082926</v>
      </c>
      <c r="R243" s="8">
        <f>DEGREES(ATAN2(Q244,Q243))+$C$381</f>
        <v>45.713943535145354</v>
      </c>
      <c r="S243" s="8">
        <f>RADIANS(R244)</f>
        <v>0.7978588287590626</v>
      </c>
      <c r="T243" s="8">
        <f>(COS($D$373)+SIN($D$373)*SIN(S243)*TAN(S246))*$A$370-COS(S243)*TAN(S246)*$A$373</f>
        <v>7.941520224516706E-05</v>
      </c>
      <c r="U243" s="8">
        <f>COS(S243)*COS($D$394)*COS($D$373)+SIN(S243)*SIN($D$394)</f>
        <v>0.5516694726929443</v>
      </c>
      <c r="V243" s="8">
        <f>COS($D$394)*COS($D$373)*(TAN($D$373)*COS(S246)-SIN(S243)*SIN(S246))+COS(S243)*SIN(S246)*SIN($D$394)</f>
        <v>-0.03034689723621923</v>
      </c>
      <c r="W243" s="8">
        <f>DEGREES(U246+T243+S243)</f>
        <v>45.72188104441553</v>
      </c>
      <c r="X243" s="8">
        <f>DEGREES(V246+T246+S246)</f>
        <v>4.133563045599913</v>
      </c>
      <c r="Y243" s="28">
        <f>V246+T246+S246</f>
        <v>0.07214428498448298</v>
      </c>
      <c r="Z243" s="8">
        <f>RADIANS(A245)</f>
        <v>4.102820693711911</v>
      </c>
      <c r="AA243" s="8">
        <f>Z243+$K$2</f>
        <v>2.008425591318716</v>
      </c>
      <c r="AB243" s="8">
        <f>DEGREES(AA243)</f>
        <v>115.07430984862914</v>
      </c>
      <c r="AC243" s="8">
        <f>AB243-INT(AB243/360)*360</f>
        <v>115.07430984862914</v>
      </c>
      <c r="AD243" s="28">
        <f>SIN(Y243)*SIN($J$2)+COS(Y243)*COS($J$2)*COS(AA243)</f>
        <v>-0.4021019531337908</v>
      </c>
      <c r="AE243" s="28">
        <f>ASIN(AD243)</f>
        <v>-0.41381141589990084</v>
      </c>
      <c r="AF243" s="28">
        <f>(SIN(Y243)-SIN($J$2)*AD243)/(COS($J$2)*COS(AE243))</f>
        <v>-0.16264930247072</v>
      </c>
      <c r="AG243" s="8">
        <f>DEGREES(ACOS(AF243))</f>
        <v>99.36070479912006</v>
      </c>
      <c r="AH243" s="8">
        <f>IF(AC243&gt;180,AG243,360-AG243)</f>
        <v>260.6392952008799</v>
      </c>
      <c r="AI243" s="8">
        <f>DEGREES(AE243)</f>
        <v>-23.709647645397126</v>
      </c>
      <c r="AJ243" s="28">
        <f>$C$5-AI243</f>
        <v>90.5663143120638</v>
      </c>
      <c r="AK243" s="29">
        <f>$D$5-AH243</f>
        <v>-32.73929520087992</v>
      </c>
      <c r="AL243" s="9">
        <f>AJ243*AJ243+AK243*AK243</f>
        <v>9274.11873832189</v>
      </c>
    </row>
    <row r="244" spans="1:38" s="8" customFormat="1" ht="12.75">
      <c r="A244" s="16" t="s">
        <v>137</v>
      </c>
      <c r="B244" s="16" t="s">
        <v>138</v>
      </c>
      <c r="C244" s="16" t="s">
        <v>135</v>
      </c>
      <c r="D244" s="16" t="s">
        <v>139</v>
      </c>
      <c r="E244" s="16" t="s">
        <v>138</v>
      </c>
      <c r="F244" s="16" t="s">
        <v>135</v>
      </c>
      <c r="M244" s="23">
        <v>2</v>
      </c>
      <c r="N244" s="23">
        <v>5</v>
      </c>
      <c r="O244" s="8" t="s">
        <v>110</v>
      </c>
      <c r="P244" s="8" t="s">
        <v>111</v>
      </c>
      <c r="Q244" s="8">
        <f>COS($F$381)*COS(P246)*COS(O246+$B$381)-SIN($F$381)*SIN(P246)</f>
        <v>0.6973035990721677</v>
      </c>
      <c r="R244" s="8">
        <f>R243-360*INT(R243/360)</f>
        <v>45.713943535145354</v>
      </c>
      <c r="U244" s="8">
        <f>COS(S243)*COS($D$389)*COS($D$373)+SIN(S243)*SIN($D$389)</f>
        <v>-0.5842204567305143</v>
      </c>
      <c r="V244" s="8">
        <f>COS($D$389)*COS($D$373)*(TAN($D$373)*COS(S246)-SIN(S243)*SIN(S246))+COS(S243)*SIN(S246)*SIN($D$389)</f>
        <v>0.015546314995062649</v>
      </c>
      <c r="AL244" s="9"/>
    </row>
    <row r="245" spans="1:38" s="8" customFormat="1" ht="12.75">
      <c r="A245" s="10">
        <f>($C$376+E243+F243/60)-INT(($C$376+E243+F243/60)/360)*360</f>
        <v>235.07430984862913</v>
      </c>
      <c r="B245" s="11">
        <f>TRUNC(A245)</f>
        <v>235</v>
      </c>
      <c r="C245" s="12">
        <f>(A245-B245)*60</f>
        <v>4.458590917747642</v>
      </c>
      <c r="D245" s="32" t="str">
        <f>IF(X243&gt;=0,"N","S")</f>
        <v>N</v>
      </c>
      <c r="E245" s="11">
        <f>ABS(TRUNC(X243))</f>
        <v>4</v>
      </c>
      <c r="F245" s="12">
        <f>ABS(X243-TRUNC(X243))*60</f>
        <v>8.01378273599477</v>
      </c>
      <c r="M245" s="30">
        <v>16.772</v>
      </c>
      <c r="N245" s="30">
        <v>23.04</v>
      </c>
      <c r="O245" s="31">
        <f>M246+O243/3600*$A$367</f>
        <v>45.56984724496982</v>
      </c>
      <c r="P245" s="31">
        <f>N246+P243/3600*$A$367</f>
        <v>4.0894926627566965</v>
      </c>
      <c r="Q245" s="31">
        <f>SIN($F$381)*COS(P246)*COS(O246+$B$381)+COS($F$381)*SIN(P246)</f>
        <v>0.07205993493792974</v>
      </c>
      <c r="R245" s="31" t="s">
        <v>139</v>
      </c>
      <c r="S245" s="20" t="s">
        <v>119</v>
      </c>
      <c r="T245" s="20" t="s">
        <v>122</v>
      </c>
      <c r="U245" s="20" t="s">
        <v>121</v>
      </c>
      <c r="V245" s="20" t="s">
        <v>122</v>
      </c>
      <c r="W245" s="20" t="s">
        <v>130</v>
      </c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9"/>
    </row>
    <row r="246" spans="1:38" s="8" customFormat="1" ht="12.75">
      <c r="A246" s="16"/>
      <c r="B246" s="16"/>
      <c r="C246" s="16"/>
      <c r="D246" s="16"/>
      <c r="E246" s="16"/>
      <c r="F246" s="16"/>
      <c r="M246" s="24">
        <f>(M243+M244/60+M245/3600)*15</f>
        <v>45.56988333333333</v>
      </c>
      <c r="N246" s="24">
        <f>N243+N244/60+N245/3600</f>
        <v>4.089733333333333</v>
      </c>
      <c r="O246" s="8">
        <f>RADIANS(O245)</f>
        <v>0.7953438740555904</v>
      </c>
      <c r="P246" s="8">
        <f>RADIANS(P245)</f>
        <v>0.07137511170125445</v>
      </c>
      <c r="R246" s="8">
        <f>DEGREES(ASIN(Q245))</f>
        <v>4.132311683430257</v>
      </c>
      <c r="S246" s="8">
        <f>RADIANS(R246)</f>
        <v>0.07212244459448759</v>
      </c>
      <c r="T246" s="8">
        <f>SIN($D$373)*COS(S243)*$A$370+SIN(S243)*$A$373</f>
        <v>2.3435520539828745E-05</v>
      </c>
      <c r="U246" s="22">
        <f>($A$394*U243-U244)*$V$18/COS(S246)</f>
        <v>5.912046892703006E-05</v>
      </c>
      <c r="V246" s="22">
        <f>($A$394*V243-V244)*$V$18</f>
        <v>-1.595130544439469E-06</v>
      </c>
      <c r="W246" s="8">
        <f>360-W243</f>
        <v>314.2781189555845</v>
      </c>
      <c r="AL246" s="9"/>
    </row>
    <row r="247" spans="1:38" s="8" customFormat="1" ht="12.75">
      <c r="A247" s="16" t="s">
        <v>140</v>
      </c>
      <c r="B247" s="16" t="s">
        <v>140</v>
      </c>
      <c r="C247" s="16" t="s">
        <v>140</v>
      </c>
      <c r="D247" s="16" t="s">
        <v>140</v>
      </c>
      <c r="E247" s="16" t="s">
        <v>140</v>
      </c>
      <c r="F247" s="16" t="s">
        <v>140</v>
      </c>
      <c r="M247" s="16" t="s">
        <v>140</v>
      </c>
      <c r="N247" s="16" t="s">
        <v>3</v>
      </c>
      <c r="O247" s="16" t="s">
        <v>140</v>
      </c>
      <c r="P247" s="16" t="s">
        <v>140</v>
      </c>
      <c r="Q247" s="16" t="s">
        <v>140</v>
      </c>
      <c r="R247" s="16" t="s">
        <v>140</v>
      </c>
      <c r="S247" s="16" t="s">
        <v>140</v>
      </c>
      <c r="T247" s="16" t="s">
        <v>3</v>
      </c>
      <c r="U247" s="16" t="s">
        <v>140</v>
      </c>
      <c r="V247" s="16" t="s">
        <v>140</v>
      </c>
      <c r="W247" s="16" t="s">
        <v>140</v>
      </c>
      <c r="X247" s="16" t="s">
        <v>140</v>
      </c>
      <c r="Y247" s="16" t="s">
        <v>140</v>
      </c>
      <c r="Z247" s="16" t="s">
        <v>3</v>
      </c>
      <c r="AA247" s="16" t="s">
        <v>140</v>
      </c>
      <c r="AB247" s="16" t="s">
        <v>140</v>
      </c>
      <c r="AC247" s="16" t="s">
        <v>140</v>
      </c>
      <c r="AD247" s="16" t="s">
        <v>140</v>
      </c>
      <c r="AE247" s="16" t="s">
        <v>140</v>
      </c>
      <c r="AF247" s="16" t="s">
        <v>3</v>
      </c>
      <c r="AG247" s="16" t="s">
        <v>140</v>
      </c>
      <c r="AH247" s="16" t="s">
        <v>140</v>
      </c>
      <c r="AI247" s="16" t="s">
        <v>140</v>
      </c>
      <c r="AJ247" s="16" t="s">
        <v>140</v>
      </c>
      <c r="AK247" s="16" t="s">
        <v>140</v>
      </c>
      <c r="AL247" s="9"/>
    </row>
    <row r="248" spans="1:38" s="8" customFormat="1" ht="12.75">
      <c r="A248" s="16"/>
      <c r="B248" s="16"/>
      <c r="C248" s="16"/>
      <c r="D248" s="16"/>
      <c r="E248" s="16"/>
      <c r="F248" s="16"/>
      <c r="M248" s="23" t="s">
        <v>104</v>
      </c>
      <c r="N248" s="23" t="s">
        <v>139</v>
      </c>
      <c r="O248" s="23" t="s">
        <v>106</v>
      </c>
      <c r="P248" s="23" t="s">
        <v>107</v>
      </c>
      <c r="Q248" s="8" t="s">
        <v>114</v>
      </c>
      <c r="R248" s="8" t="s">
        <v>104</v>
      </c>
      <c r="S248" s="8" t="s">
        <v>118</v>
      </c>
      <c r="T248" s="8" t="s">
        <v>121</v>
      </c>
      <c r="U248" s="8" t="s">
        <v>125</v>
      </c>
      <c r="V248" s="8" t="s">
        <v>126</v>
      </c>
      <c r="W248" s="8" t="s">
        <v>104</v>
      </c>
      <c r="X248" s="8" t="s">
        <v>139</v>
      </c>
      <c r="Y248" s="8" t="s">
        <v>67</v>
      </c>
      <c r="Z248" s="8" t="s">
        <v>68</v>
      </c>
      <c r="AA248" s="8" t="s">
        <v>69</v>
      </c>
      <c r="AB248" s="8" t="s">
        <v>74</v>
      </c>
      <c r="AC248" s="8" t="s">
        <v>73</v>
      </c>
      <c r="AD248" s="8" t="s">
        <v>70</v>
      </c>
      <c r="AE248" s="24" t="s">
        <v>75</v>
      </c>
      <c r="AF248" s="8" t="s">
        <v>71</v>
      </c>
      <c r="AG248" s="8" t="s">
        <v>72</v>
      </c>
      <c r="AH248" s="25" t="s">
        <v>76</v>
      </c>
      <c r="AI248" s="25" t="s">
        <v>77</v>
      </c>
      <c r="AJ248" s="24" t="s">
        <v>78</v>
      </c>
      <c r="AK248" s="24" t="s">
        <v>79</v>
      </c>
      <c r="AL248" s="9"/>
    </row>
    <row r="249" spans="1:38" s="8" customFormat="1" ht="12.75">
      <c r="A249" s="16" t="s">
        <v>3</v>
      </c>
      <c r="B249" s="26">
        <v>36</v>
      </c>
      <c r="C249" s="27">
        <v>2.1</v>
      </c>
      <c r="D249" s="18" t="s">
        <v>165</v>
      </c>
      <c r="E249" s="11">
        <f>TRUNC(W252)</f>
        <v>148</v>
      </c>
      <c r="F249" s="12">
        <f>ABS(W252-E249)*60</f>
        <v>9.824021464454518</v>
      </c>
      <c r="M249" s="23">
        <v>14</v>
      </c>
      <c r="N249" s="23">
        <v>-36</v>
      </c>
      <c r="O249" s="23">
        <v>-0.5193</v>
      </c>
      <c r="P249" s="23">
        <v>-0.51786</v>
      </c>
      <c r="Q249" s="8">
        <f>COS(P252)*SIN(O252+$B$381)</f>
        <v>-0.42357599246712685</v>
      </c>
      <c r="R249" s="8">
        <f>DEGREES(ATAN2(Q250,Q249))+$C$381</f>
        <v>-148.1662575418049</v>
      </c>
      <c r="S249" s="8">
        <f>RADIANS(R250)</f>
        <v>3.697196272717211</v>
      </c>
      <c r="T249" s="8">
        <f>(COS($D$373)+SIN($D$373)*SIN(S249)*TAN(S252))*$A$370-COS(S249)*TAN(S252)*$A$373</f>
        <v>9.083928205531491E-05</v>
      </c>
      <c r="U249" s="8">
        <f>COS(S249)*COS($D$394)*COS($D$373)+SIN(S249)*SIN($D$394)</f>
        <v>-0.33665181757471974</v>
      </c>
      <c r="V249" s="8">
        <f>COS($D$394)*COS($D$373)*(TAN($D$373)*COS(S252)-SIN(S249)*SIN(S252))+COS(S249)*SIN(S252)*SIN($D$394)</f>
        <v>0.483829875533496</v>
      </c>
      <c r="W249" s="8">
        <f>DEGREES(U252+T249+S249)</f>
        <v>211.83626630892576</v>
      </c>
      <c r="X249" s="8">
        <f>DEGREES(V252+T252+S252)</f>
        <v>-36.4224199421794</v>
      </c>
      <c r="Y249" s="28">
        <f>V252+T252+S252</f>
        <v>-0.6356911495350732</v>
      </c>
      <c r="Z249" s="8">
        <f>RADIANS(A251)</f>
        <v>1.2035777359198567</v>
      </c>
      <c r="AA249" s="8">
        <f>Z249+$K$2</f>
        <v>-0.8908173664733385</v>
      </c>
      <c r="AB249" s="8">
        <f>DEGREES(AA249)</f>
        <v>-51.040075415881056</v>
      </c>
      <c r="AC249" s="8">
        <f>AB249-INT(AB249/360)*360</f>
        <v>308.95992458411894</v>
      </c>
      <c r="AD249" s="28">
        <f>SIN(Y249)*SIN($J$2)+COS(Y249)*COS($J$2)*COS(AA249)</f>
        <v>0.7350345236984661</v>
      </c>
      <c r="AE249" s="28">
        <f>ASIN(AD249)</f>
        <v>0.8257175972607996</v>
      </c>
      <c r="AF249" s="28">
        <f>(SIN(Y249)-SIN($J$2)*AD249)/(COS($J$2)*COS(AE249))</f>
        <v>-0.385252095466262</v>
      </c>
      <c r="AG249" s="8">
        <f>DEGREES(ACOS(AF249))</f>
        <v>112.65939154695029</v>
      </c>
      <c r="AH249" s="8">
        <f>IF(AC249&gt;180,AG249,360-AG249)</f>
        <v>112.65939154695029</v>
      </c>
      <c r="AI249" s="8">
        <f>DEGREES(AE249)</f>
        <v>47.31013339272688</v>
      </c>
      <c r="AJ249" s="28">
        <f>$C$5-AI249</f>
        <v>19.546533273939787</v>
      </c>
      <c r="AK249" s="29">
        <f>$D$5-AH249</f>
        <v>115.24060845304972</v>
      </c>
      <c r="AL249" s="9">
        <f>AJ249*AJ249+AK249*AK249</f>
        <v>13662.46479965835</v>
      </c>
    </row>
    <row r="250" spans="1:38" s="8" customFormat="1" ht="12.75">
      <c r="A250" s="16" t="s">
        <v>137</v>
      </c>
      <c r="B250" s="16" t="s">
        <v>138</v>
      </c>
      <c r="C250" s="16" t="s">
        <v>135</v>
      </c>
      <c r="D250" s="16" t="s">
        <v>139</v>
      </c>
      <c r="E250" s="16" t="s">
        <v>138</v>
      </c>
      <c r="F250" s="16" t="s">
        <v>135</v>
      </c>
      <c r="M250" s="23">
        <v>6</v>
      </c>
      <c r="N250" s="23">
        <v>-22</v>
      </c>
      <c r="O250" s="8" t="s">
        <v>110</v>
      </c>
      <c r="P250" s="8" t="s">
        <v>111</v>
      </c>
      <c r="Q250" s="8">
        <f>COS($F$381)*COS(P252)*COS(O252+$B$381)-SIN($F$381)*SIN(P252)</f>
        <v>-0.6841371129356553</v>
      </c>
      <c r="R250" s="8">
        <f>R249-360*INT(R249/360)</f>
        <v>211.8337424581951</v>
      </c>
      <c r="U250" s="8">
        <f>COS(S249)*COS($D$389)*COS($D$373)+SIN(S249)*SIN($D$389)</f>
        <v>0.3732757833359378</v>
      </c>
      <c r="V250" s="8">
        <f>COS($D$389)*COS($D$373)*(TAN($D$373)*COS(S252)-SIN(S249)*SIN(S252))+COS(S249)*SIN(S252)*SIN($D$389)</f>
        <v>-0.4895535830286915</v>
      </c>
      <c r="AL250" s="9"/>
    </row>
    <row r="251" spans="1:38" s="8" customFormat="1" ht="12.75">
      <c r="A251" s="10">
        <f>($C$376+E249+F249/60)-INT(($C$376+E249+F249/60)/360)*360</f>
        <v>68.95992458411894</v>
      </c>
      <c r="B251" s="11">
        <f>TRUNC(A251)</f>
        <v>68</v>
      </c>
      <c r="C251" s="12">
        <f>(A251-B251)*60</f>
        <v>57.59547504713623</v>
      </c>
      <c r="D251" s="32" t="str">
        <f>IF(X249&gt;=0,"N","S")</f>
        <v>S</v>
      </c>
      <c r="E251" s="11">
        <f>ABS(TRUNC(X249))</f>
        <v>36</v>
      </c>
      <c r="F251" s="12">
        <f>ABS(X249-TRUNC(X249))*60</f>
        <v>25.345196530764156</v>
      </c>
      <c r="M251" s="30">
        <v>40.949</v>
      </c>
      <c r="N251" s="30">
        <v>-11.84</v>
      </c>
      <c r="O251" s="31">
        <f>M252+O249/3600*$A$367</f>
        <v>211.66903398429258</v>
      </c>
      <c r="P251" s="31">
        <f>N252+P249/3600*$A$367</f>
        <v>-36.37153800432165</v>
      </c>
      <c r="Q251" s="31">
        <f>SIN($F$381)*COS(P252)*COS(O252+$B$381)+COS($F$381)*SIN(P252)</f>
        <v>-0.5937506120498363</v>
      </c>
      <c r="R251" s="31" t="s">
        <v>139</v>
      </c>
      <c r="S251" s="20" t="s">
        <v>119</v>
      </c>
      <c r="T251" s="20" t="s">
        <v>122</v>
      </c>
      <c r="U251" s="20" t="s">
        <v>121</v>
      </c>
      <c r="V251" s="20" t="s">
        <v>122</v>
      </c>
      <c r="W251" s="20" t="s">
        <v>130</v>
      </c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9"/>
    </row>
    <row r="252" spans="1:38" s="8" customFormat="1" ht="12.75">
      <c r="A252" s="16"/>
      <c r="B252" s="16"/>
      <c r="C252" s="16"/>
      <c r="D252" s="16"/>
      <c r="E252" s="16"/>
      <c r="F252" s="16"/>
      <c r="M252" s="24">
        <f>(M249+M250/60+M251/3600)*15</f>
        <v>211.67062083333332</v>
      </c>
      <c r="N252" s="24">
        <f>N249+N250/60+N251/3600</f>
        <v>-36.369955555555556</v>
      </c>
      <c r="O252" s="8">
        <f>RADIANS(O251)</f>
        <v>3.6943215675416767</v>
      </c>
      <c r="P252" s="8">
        <f>RADIANS(P251)</f>
        <v>-0.6348030921896604</v>
      </c>
      <c r="R252" s="8">
        <f>DEGREES(ASIN(Q251))</f>
        <v>-36.42361722388942</v>
      </c>
      <c r="S252" s="8">
        <f>RADIANS(R252)</f>
        <v>-0.635712046042987</v>
      </c>
      <c r="T252" s="8">
        <f>SIN($D$373)*COS(S249)*$A$370+SIN(S249)*$A$373</f>
        <v>-2.8551083961169795E-05</v>
      </c>
      <c r="U252" s="22">
        <f>($A$394*U249-U250)*$V$18/COS(S252)</f>
        <v>-4.678977697607346E-05</v>
      </c>
      <c r="V252" s="22">
        <f>($A$394*V249-V250)*$V$18</f>
        <v>4.9447591875024126E-05</v>
      </c>
      <c r="W252" s="8">
        <f>360-W249</f>
        <v>148.16373369107424</v>
      </c>
      <c r="AL252" s="9"/>
    </row>
    <row r="253" spans="1:38" s="8" customFormat="1" ht="12.75">
      <c r="A253" s="16" t="s">
        <v>140</v>
      </c>
      <c r="B253" s="16" t="s">
        <v>140</v>
      </c>
      <c r="C253" s="16" t="s">
        <v>140</v>
      </c>
      <c r="D253" s="16" t="s">
        <v>140</v>
      </c>
      <c r="E253" s="16" t="s">
        <v>140</v>
      </c>
      <c r="F253" s="16" t="s">
        <v>140</v>
      </c>
      <c r="M253" s="16" t="s">
        <v>140</v>
      </c>
      <c r="N253" s="16" t="s">
        <v>4</v>
      </c>
      <c r="O253" s="16" t="s">
        <v>140</v>
      </c>
      <c r="P253" s="16" t="s">
        <v>140</v>
      </c>
      <c r="Q253" s="16" t="s">
        <v>140</v>
      </c>
      <c r="R253" s="16" t="s">
        <v>140</v>
      </c>
      <c r="S253" s="16" t="s">
        <v>140</v>
      </c>
      <c r="T253" s="16" t="s">
        <v>4</v>
      </c>
      <c r="U253" s="16" t="s">
        <v>140</v>
      </c>
      <c r="V253" s="16" t="s">
        <v>140</v>
      </c>
      <c r="W253" s="16" t="s">
        <v>140</v>
      </c>
      <c r="X253" s="16" t="s">
        <v>140</v>
      </c>
      <c r="Y253" s="16" t="s">
        <v>140</v>
      </c>
      <c r="Z253" s="16" t="s">
        <v>4</v>
      </c>
      <c r="AA253" s="16" t="s">
        <v>140</v>
      </c>
      <c r="AB253" s="16" t="s">
        <v>140</v>
      </c>
      <c r="AC253" s="16" t="s">
        <v>140</v>
      </c>
      <c r="AD253" s="16" t="s">
        <v>140</v>
      </c>
      <c r="AE253" s="16" t="s">
        <v>140</v>
      </c>
      <c r="AF253" s="16" t="s">
        <v>4</v>
      </c>
      <c r="AG253" s="16" t="s">
        <v>140</v>
      </c>
      <c r="AH253" s="16" t="s">
        <v>140</v>
      </c>
      <c r="AI253" s="16" t="s">
        <v>140</v>
      </c>
      <c r="AJ253" s="16" t="s">
        <v>140</v>
      </c>
      <c r="AK253" s="16" t="s">
        <v>140</v>
      </c>
      <c r="AL253" s="9"/>
    </row>
    <row r="254" spans="1:38" s="8" customFormat="1" ht="12.75">
      <c r="A254" s="16"/>
      <c r="B254" s="16"/>
      <c r="C254" s="16"/>
      <c r="D254" s="16"/>
      <c r="E254" s="16"/>
      <c r="F254" s="16"/>
      <c r="M254" s="23" t="s">
        <v>104</v>
      </c>
      <c r="N254" s="23" t="s">
        <v>139</v>
      </c>
      <c r="O254" s="23" t="s">
        <v>106</v>
      </c>
      <c r="P254" s="23" t="s">
        <v>107</v>
      </c>
      <c r="Q254" s="8" t="s">
        <v>114</v>
      </c>
      <c r="R254" s="8" t="s">
        <v>104</v>
      </c>
      <c r="S254" s="8" t="s">
        <v>118</v>
      </c>
      <c r="T254" s="8" t="s">
        <v>121</v>
      </c>
      <c r="U254" s="8" t="s">
        <v>125</v>
      </c>
      <c r="V254" s="8" t="s">
        <v>126</v>
      </c>
      <c r="W254" s="8" t="s">
        <v>104</v>
      </c>
      <c r="X254" s="8" t="s">
        <v>139</v>
      </c>
      <c r="Y254" s="8" t="s">
        <v>67</v>
      </c>
      <c r="Z254" s="8" t="s">
        <v>68</v>
      </c>
      <c r="AA254" s="8" t="s">
        <v>69</v>
      </c>
      <c r="AB254" s="8" t="s">
        <v>74</v>
      </c>
      <c r="AC254" s="8" t="s">
        <v>73</v>
      </c>
      <c r="AD254" s="8" t="s">
        <v>70</v>
      </c>
      <c r="AE254" s="24" t="s">
        <v>75</v>
      </c>
      <c r="AF254" s="8" t="s">
        <v>71</v>
      </c>
      <c r="AG254" s="8" t="s">
        <v>72</v>
      </c>
      <c r="AH254" s="25" t="s">
        <v>76</v>
      </c>
      <c r="AI254" s="25" t="s">
        <v>77</v>
      </c>
      <c r="AJ254" s="24" t="s">
        <v>78</v>
      </c>
      <c r="AK254" s="24" t="s">
        <v>79</v>
      </c>
      <c r="AL254" s="9"/>
    </row>
    <row r="255" spans="1:38" s="8" customFormat="1" ht="12.75">
      <c r="A255" s="16" t="s">
        <v>4</v>
      </c>
      <c r="B255" s="26">
        <v>24</v>
      </c>
      <c r="C255" s="27">
        <v>1.7</v>
      </c>
      <c r="D255" s="18" t="s">
        <v>165</v>
      </c>
      <c r="E255" s="11">
        <f>TRUNC(W258)</f>
        <v>221</v>
      </c>
      <c r="F255" s="12">
        <f>ABS(W258-E255)*60</f>
        <v>39.35539181850061</v>
      </c>
      <c r="M255" s="23">
        <v>9</v>
      </c>
      <c r="N255" s="23">
        <v>-69</v>
      </c>
      <c r="O255" s="23">
        <v>-0.15766</v>
      </c>
      <c r="P255" s="23">
        <v>0.10891</v>
      </c>
      <c r="Q255" s="8">
        <f>COS(P258)*SIN(O258+$B$381)</f>
        <v>0.2302924529583078</v>
      </c>
      <c r="R255" s="8">
        <f>DEGREES(ATAN2(Q256,Q255))+$C$381</f>
        <v>138.33002344686497</v>
      </c>
      <c r="S255" s="8">
        <f>RADIANS(R256)</f>
        <v>2.414314363508749</v>
      </c>
      <c r="T255" s="8">
        <f>(COS($D$373)+SIN($D$373)*SIN(S255)*TAN(S258))*$A$370-COS(S255)*TAN(S258)*$A$373</f>
        <v>1.7160117381236267E-05</v>
      </c>
      <c r="U255" s="8">
        <f>COS(S255)*COS($D$394)*COS($D$373)+SIN(S255)*SIN($D$394)</f>
        <v>0.8031127055195252</v>
      </c>
      <c r="V255" s="8">
        <f>COS($D$394)*COS($D$373)*(TAN($D$373)*COS(S258)-SIN(S255)*SIN(S258))+COS(S255)*SIN(S258)*SIN($D$394)</f>
        <v>0.5213369395672517</v>
      </c>
      <c r="W255" s="8">
        <f>DEGREES(U258+T255+S255)</f>
        <v>138.344076803025</v>
      </c>
      <c r="X255" s="8">
        <f>DEGREES(V258+T258+S258)</f>
        <v>-69.76084066737245</v>
      </c>
      <c r="Y255" s="28">
        <f>V258+T258+S258</f>
        <v>-1.2175563586048077</v>
      </c>
      <c r="Z255" s="8">
        <f>RADIANS(A257)</f>
        <v>2.4862584172974493</v>
      </c>
      <c r="AA255" s="8">
        <f>Z255+$K$2</f>
        <v>0.3918633149042541</v>
      </c>
      <c r="AB255" s="8">
        <f>DEGREES(AA255)</f>
        <v>22.452114090019688</v>
      </c>
      <c r="AC255" s="8">
        <f>AB255-INT(AB255/360)*360</f>
        <v>22.452114090019688</v>
      </c>
      <c r="AD255" s="28">
        <f>SIN(Y255)*SIN($J$2)+COS(Y255)*COS($J$2)*COS(AA255)</f>
        <v>0.7460114404179703</v>
      </c>
      <c r="AE255" s="28">
        <f>ASIN(AD255)</f>
        <v>0.8420523835594562</v>
      </c>
      <c r="AF255" s="28">
        <f>(SIN(Y255)-SIN($J$2)*AD255)/(COS($J$2)*COS(AE255))</f>
        <v>-0.9801220365260673</v>
      </c>
      <c r="AG255" s="8">
        <f>DEGREES(ACOS(AF255))</f>
        <v>168.55684928306417</v>
      </c>
      <c r="AH255" s="8">
        <f>IF(AC255&gt;180,AG255,360-AG255)</f>
        <v>191.44315071693583</v>
      </c>
      <c r="AI255" s="8">
        <f>DEGREES(AE255)</f>
        <v>48.24604770688803</v>
      </c>
      <c r="AJ255" s="28">
        <f>$C$5-AI255</f>
        <v>18.61061895977864</v>
      </c>
      <c r="AK255" s="29">
        <f>$D$5-AH255</f>
        <v>36.45684928306417</v>
      </c>
      <c r="AL255" s="9">
        <f>AJ255*AJ255+AK255*AK255</f>
        <v>1675.4569977141289</v>
      </c>
    </row>
    <row r="256" spans="1:38" s="8" customFormat="1" ht="12.75">
      <c r="A256" s="16" t="s">
        <v>137</v>
      </c>
      <c r="B256" s="16" t="s">
        <v>138</v>
      </c>
      <c r="C256" s="16" t="s">
        <v>135</v>
      </c>
      <c r="D256" s="16" t="s">
        <v>139</v>
      </c>
      <c r="E256" s="16" t="s">
        <v>138</v>
      </c>
      <c r="F256" s="16" t="s">
        <v>135</v>
      </c>
      <c r="M256" s="23">
        <v>13</v>
      </c>
      <c r="N256" s="23">
        <v>-43</v>
      </c>
      <c r="O256" s="8" t="s">
        <v>110</v>
      </c>
      <c r="P256" s="8" t="s">
        <v>111</v>
      </c>
      <c r="Q256" s="8">
        <f>COS($F$381)*COS(P258)*COS(O258+$B$381)-SIN($F$381)*SIN(P258)</f>
        <v>-0.25810745835537996</v>
      </c>
      <c r="R256" s="8">
        <f>R255-360*INT(R255/360)</f>
        <v>138.33002344686497</v>
      </c>
      <c r="U256" s="8">
        <f>COS(S255)*COS($D$389)*COS($D$373)+SIN(S255)*SIN($D$389)</f>
        <v>-0.7807082188967773</v>
      </c>
      <c r="V256" s="8">
        <f>COS($D$389)*COS($D$373)*(TAN($D$373)*COS(S258)-SIN(S255)*SIN(S258))+COS(S255)*SIN(S258)*SIN($D$389)</f>
        <v>-0.5566061983063232</v>
      </c>
      <c r="AL256" s="9"/>
    </row>
    <row r="257" spans="1:38" s="8" customFormat="1" ht="12.75">
      <c r="A257" s="10">
        <f>($C$376+E255+F255/60)-INT(($C$376+E255+F255/60)/360)*360</f>
        <v>142.45211409001968</v>
      </c>
      <c r="B257" s="11">
        <f>TRUNC(A257)</f>
        <v>142</v>
      </c>
      <c r="C257" s="12">
        <f>(A257-B257)*60</f>
        <v>27.126845401180617</v>
      </c>
      <c r="D257" s="32" t="str">
        <f>IF(X255&gt;=0,"N","S")</f>
        <v>S</v>
      </c>
      <c r="E257" s="11">
        <f>ABS(TRUNC(X255))</f>
        <v>69</v>
      </c>
      <c r="F257" s="12">
        <f>ABS(X255-TRUNC(X255))*60</f>
        <v>45.65044004234693</v>
      </c>
      <c r="M257" s="30">
        <v>11.976</v>
      </c>
      <c r="N257" s="30">
        <v>-1.95</v>
      </c>
      <c r="O257" s="31">
        <f>M258+O255/3600*$A$367</f>
        <v>138.29941823104227</v>
      </c>
      <c r="P257" s="31">
        <f>N258+P255/3600*$A$367</f>
        <v>-69.7168755320065</v>
      </c>
      <c r="Q257" s="31">
        <f>SIN($F$381)*COS(P258)*COS(O258+$B$381)+COS($F$381)*SIN(P258)</f>
        <v>-0.9382675130535915</v>
      </c>
      <c r="R257" s="31" t="s">
        <v>139</v>
      </c>
      <c r="S257" s="20" t="s">
        <v>119</v>
      </c>
      <c r="T257" s="20" t="s">
        <v>122</v>
      </c>
      <c r="U257" s="20" t="s">
        <v>121</v>
      </c>
      <c r="V257" s="20" t="s">
        <v>122</v>
      </c>
      <c r="W257" s="20" t="s">
        <v>130</v>
      </c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9"/>
    </row>
    <row r="258" spans="1:38" s="8" customFormat="1" ht="12.75">
      <c r="A258" s="16"/>
      <c r="B258" s="16"/>
      <c r="C258" s="16"/>
      <c r="D258" s="16"/>
      <c r="E258" s="16"/>
      <c r="F258" s="16"/>
      <c r="M258" s="24">
        <f>(M255+M256/60+M257/3600)*15</f>
        <v>138.2999</v>
      </c>
      <c r="N258" s="24">
        <f>N255+N256/60+N257/3600</f>
        <v>-69.71720833333333</v>
      </c>
      <c r="O258" s="8">
        <f>RADIANS(O257)</f>
        <v>2.4137802017243595</v>
      </c>
      <c r="P258" s="8">
        <f>RADIANS(P257)</f>
        <v>-1.2167890222365867</v>
      </c>
      <c r="R258" s="8">
        <f>DEGREES(ASIN(Q257))</f>
        <v>-69.76261402973381</v>
      </c>
      <c r="S258" s="8">
        <f>RADIANS(R258)</f>
        <v>-1.2175873096168444</v>
      </c>
      <c r="T258" s="8">
        <f>SIN($D$373)*COS(S255)*$A$370+SIN(S255)*$A$373</f>
        <v>-2.5221522697393074E-05</v>
      </c>
      <c r="U258" s="22">
        <f>($A$394*U255-U256)*$V$18/COS(S258)</f>
        <v>0.00022811721856698605</v>
      </c>
      <c r="V258" s="22">
        <f>($A$394*V255-V256)*$V$18</f>
        <v>5.617253473413808E-05</v>
      </c>
      <c r="W258" s="8">
        <f>360-W255</f>
        <v>221.655923196975</v>
      </c>
      <c r="AL258" s="9"/>
    </row>
    <row r="259" spans="1:38" s="8" customFormat="1" ht="12.75">
      <c r="A259" s="16" t="s">
        <v>140</v>
      </c>
      <c r="B259" s="16" t="s">
        <v>140</v>
      </c>
      <c r="C259" s="16" t="s">
        <v>140</v>
      </c>
      <c r="D259" s="16" t="s">
        <v>140</v>
      </c>
      <c r="E259" s="16" t="s">
        <v>140</v>
      </c>
      <c r="F259" s="16" t="s">
        <v>140</v>
      </c>
      <c r="M259" s="16" t="s">
        <v>140</v>
      </c>
      <c r="N259" s="16" t="s">
        <v>5</v>
      </c>
      <c r="O259" s="16" t="s">
        <v>140</v>
      </c>
      <c r="P259" s="16" t="s">
        <v>140</v>
      </c>
      <c r="Q259" s="16" t="s">
        <v>140</v>
      </c>
      <c r="R259" s="16" t="s">
        <v>140</v>
      </c>
      <c r="S259" s="16" t="s">
        <v>140</v>
      </c>
      <c r="T259" s="16" t="s">
        <v>5</v>
      </c>
      <c r="U259" s="16" t="s">
        <v>140</v>
      </c>
      <c r="V259" s="16" t="s">
        <v>140</v>
      </c>
      <c r="W259" s="16" t="s">
        <v>140</v>
      </c>
      <c r="X259" s="16" t="s">
        <v>140</v>
      </c>
      <c r="Y259" s="16" t="s">
        <v>140</v>
      </c>
      <c r="Z259" s="16" t="s">
        <v>5</v>
      </c>
      <c r="AA259" s="16" t="s">
        <v>140</v>
      </c>
      <c r="AB259" s="16" t="s">
        <v>140</v>
      </c>
      <c r="AC259" s="16" t="s">
        <v>140</v>
      </c>
      <c r="AD259" s="16" t="s">
        <v>140</v>
      </c>
      <c r="AE259" s="16" t="s">
        <v>140</v>
      </c>
      <c r="AF259" s="16" t="s">
        <v>5</v>
      </c>
      <c r="AG259" s="16" t="s">
        <v>140</v>
      </c>
      <c r="AH259" s="16" t="s">
        <v>140</v>
      </c>
      <c r="AI259" s="16" t="s">
        <v>140</v>
      </c>
      <c r="AJ259" s="16" t="s">
        <v>140</v>
      </c>
      <c r="AK259" s="16" t="s">
        <v>140</v>
      </c>
      <c r="AL259" s="9"/>
    </row>
    <row r="260" spans="1:38" s="8" customFormat="1" ht="12.75">
      <c r="A260" s="16"/>
      <c r="B260" s="16"/>
      <c r="C260" s="16"/>
      <c r="D260" s="16"/>
      <c r="E260" s="16"/>
      <c r="F260" s="16"/>
      <c r="M260" s="23" t="s">
        <v>104</v>
      </c>
      <c r="N260" s="23" t="s">
        <v>139</v>
      </c>
      <c r="O260" s="23" t="s">
        <v>106</v>
      </c>
      <c r="P260" s="23" t="s">
        <v>107</v>
      </c>
      <c r="Q260" s="8" t="s">
        <v>114</v>
      </c>
      <c r="R260" s="8" t="s">
        <v>104</v>
      </c>
      <c r="S260" s="8" t="s">
        <v>118</v>
      </c>
      <c r="T260" s="8" t="s">
        <v>121</v>
      </c>
      <c r="U260" s="8" t="s">
        <v>125</v>
      </c>
      <c r="V260" s="8" t="s">
        <v>126</v>
      </c>
      <c r="W260" s="8" t="s">
        <v>104</v>
      </c>
      <c r="X260" s="8" t="s">
        <v>139</v>
      </c>
      <c r="Y260" s="8" t="s">
        <v>67</v>
      </c>
      <c r="Z260" s="8" t="s">
        <v>68</v>
      </c>
      <c r="AA260" s="8" t="s">
        <v>69</v>
      </c>
      <c r="AB260" s="8" t="s">
        <v>74</v>
      </c>
      <c r="AC260" s="8" t="s">
        <v>73</v>
      </c>
      <c r="AD260" s="8" t="s">
        <v>70</v>
      </c>
      <c r="AE260" s="24" t="s">
        <v>75</v>
      </c>
      <c r="AF260" s="8" t="s">
        <v>71</v>
      </c>
      <c r="AG260" s="8" t="s">
        <v>72</v>
      </c>
      <c r="AH260" s="25" t="s">
        <v>76</v>
      </c>
      <c r="AI260" s="25" t="s">
        <v>77</v>
      </c>
      <c r="AJ260" s="24" t="s">
        <v>78</v>
      </c>
      <c r="AK260" s="24" t="s">
        <v>79</v>
      </c>
      <c r="AL260" s="9"/>
    </row>
    <row r="261" spans="1:38" s="8" customFormat="1" ht="12.75">
      <c r="A261" s="16" t="s">
        <v>5</v>
      </c>
      <c r="B261" s="26">
        <v>9</v>
      </c>
      <c r="C261" s="27">
        <v>1.8</v>
      </c>
      <c r="D261" s="18" t="s">
        <v>165</v>
      </c>
      <c r="E261" s="11">
        <f>TRUNC(W264)</f>
        <v>308</v>
      </c>
      <c r="F261" s="12">
        <f>ABS(W264-E261)*60</f>
        <v>42.56854703154886</v>
      </c>
      <c r="M261" s="23">
        <v>3</v>
      </c>
      <c r="N261" s="23">
        <v>49</v>
      </c>
      <c r="O261" s="23">
        <v>0.02411</v>
      </c>
      <c r="P261" s="23">
        <v>-0.02601</v>
      </c>
      <c r="Q261" s="8">
        <f>COS(P264)*SIN(O264+$B$381)</f>
        <v>0.502050772875652</v>
      </c>
      <c r="R261" s="8">
        <f>DEGREES(ATAN2(Q262,Q261))+$C$381</f>
        <v>51.278357328601494</v>
      </c>
      <c r="S261" s="8">
        <f>RADIANS(R262)</f>
        <v>0.8949761703982599</v>
      </c>
      <c r="T261" s="8">
        <f>(COS($D$373)+SIN($D$373)*SIN(S261)*TAN(S264))*$A$370-COS(S261)*TAN(S264)*$A$373</f>
        <v>0.00010894236087877615</v>
      </c>
      <c r="U261" s="8">
        <f>COS(S261)*COS($D$394)*COS($D$373)+SIN(S261)*SIN($D$394)</f>
        <v>0.6294688946882298</v>
      </c>
      <c r="V261" s="8">
        <f>COS($D$394)*COS($D$373)*(TAN($D$373)*COS(S264)-SIN(S261)*SIN(S264))+COS(S261)*SIN(S264)*SIN($D$394)</f>
        <v>0.5321444991640849</v>
      </c>
      <c r="W261" s="8">
        <f>DEGREES(U264+T261+S261)</f>
        <v>51.29052421614083</v>
      </c>
      <c r="X261" s="8">
        <f>DEGREES(V264+T264+S264)</f>
        <v>49.90373235926521</v>
      </c>
      <c r="Y261" s="28">
        <f>V264+T264+S264</f>
        <v>0.8709844387032157</v>
      </c>
      <c r="Z261" s="8">
        <f>RADIANS(A263)</f>
        <v>4.005629535496605</v>
      </c>
      <c r="AA261" s="8">
        <f>Z261+$K$2</f>
        <v>1.91123443310341</v>
      </c>
      <c r="AB261" s="8">
        <f>DEGREES(AA261)</f>
        <v>109.50566667690386</v>
      </c>
      <c r="AC261" s="8">
        <f>AB261-INT(AB261/360)*360</f>
        <v>109.50566667690386</v>
      </c>
      <c r="AD261" s="28">
        <f>SIN(Y261)*SIN($J$2)+COS(Y261)*COS($J$2)*COS(AA261)</f>
        <v>-0.5687258964851605</v>
      </c>
      <c r="AE261" s="28">
        <f>ASIN(AD261)</f>
        <v>-0.6049560132142832</v>
      </c>
      <c r="AF261" s="28">
        <f>(SIN(Y261)-SIN($J$2)*AD261)/(COS($J$2)*COS(AE261))</f>
        <v>0.6746884604295189</v>
      </c>
      <c r="AG261" s="8">
        <f>DEGREES(ACOS(AF261))</f>
        <v>47.57003796031475</v>
      </c>
      <c r="AH261" s="8">
        <f>IF(AC261&gt;180,AG261,360-AG261)</f>
        <v>312.4299620396853</v>
      </c>
      <c r="AI261" s="8">
        <f>DEGREES(AE261)</f>
        <v>-34.661426348238884</v>
      </c>
      <c r="AJ261" s="28">
        <f>$C$5-AI261</f>
        <v>101.51809301490556</v>
      </c>
      <c r="AK261" s="29">
        <f>$D$5-AH261</f>
        <v>-84.52996203968527</v>
      </c>
      <c r="AL261" s="9">
        <f>AJ261*AJ261+AK261*AK261</f>
        <v>17451.23769181365</v>
      </c>
    </row>
    <row r="262" spans="1:38" s="8" customFormat="1" ht="12.75">
      <c r="A262" s="16" t="s">
        <v>137</v>
      </c>
      <c r="B262" s="16" t="s">
        <v>138</v>
      </c>
      <c r="C262" s="16" t="s">
        <v>135</v>
      </c>
      <c r="D262" s="16" t="s">
        <v>139</v>
      </c>
      <c r="E262" s="16" t="s">
        <v>138</v>
      </c>
      <c r="F262" s="16" t="s">
        <v>135</v>
      </c>
      <c r="M262" s="23">
        <v>24</v>
      </c>
      <c r="N262" s="23">
        <v>51</v>
      </c>
      <c r="O262" s="8" t="s">
        <v>110</v>
      </c>
      <c r="P262" s="8" t="s">
        <v>111</v>
      </c>
      <c r="Q262" s="8">
        <f>COS($F$381)*COS(P264)*COS(O264+$B$381)-SIN($F$381)*SIN(P264)</f>
        <v>0.4035454923574924</v>
      </c>
      <c r="R262" s="8">
        <f>R261-360*INT(R261/360)</f>
        <v>51.278357328601494</v>
      </c>
      <c r="U262" s="8">
        <f>COS(S261)*COS($D$389)*COS($D$373)+SIN(S261)*SIN($D$389)</f>
        <v>-0.6598359949086077</v>
      </c>
      <c r="V262" s="8">
        <f>COS($D$389)*COS($D$373)*(TAN($D$373)*COS(S264)-SIN(S261)*SIN(S264))+COS(S261)*SIN(S264)*SIN($D$389)</f>
        <v>-0.5243207653103779</v>
      </c>
      <c r="AL262" s="9"/>
    </row>
    <row r="263" spans="1:38" s="8" customFormat="1" ht="12.75">
      <c r="A263" s="10">
        <f>($C$376+E261+F261/60)-INT(($C$376+E261+F261/60)/360)*360</f>
        <v>229.50566667690384</v>
      </c>
      <c r="B263" s="11">
        <f>TRUNC(A263)</f>
        <v>229</v>
      </c>
      <c r="C263" s="12">
        <f>(A263-B263)*60</f>
        <v>30.340000614230576</v>
      </c>
      <c r="D263" s="32" t="str">
        <f>IF(X261&gt;=0,"N","S")</f>
        <v>N</v>
      </c>
      <c r="E263" s="11">
        <f>ABS(TRUNC(X261))</f>
        <v>49</v>
      </c>
      <c r="F263" s="12">
        <f>ABS(X261-TRUNC(X261))*60</f>
        <v>54.22394155591277</v>
      </c>
      <c r="M263" s="30">
        <v>19.37</v>
      </c>
      <c r="N263" s="30">
        <v>40.25</v>
      </c>
      <c r="O263" s="31">
        <f>M264+O261/3600*$A$367</f>
        <v>51.08078200737603</v>
      </c>
      <c r="P263" s="31">
        <f>N264+P261/3600*$A$367</f>
        <v>49.86110107559494</v>
      </c>
      <c r="Q263" s="31">
        <f>SIN($F$381)*COS(P264)*COS(O264+$B$381)+COS($F$381)*SIN(P264)</f>
        <v>0.7649157189213132</v>
      </c>
      <c r="R263" s="31" t="s">
        <v>139</v>
      </c>
      <c r="S263" s="20" t="s">
        <v>119</v>
      </c>
      <c r="T263" s="20" t="s">
        <v>122</v>
      </c>
      <c r="U263" s="20" t="s">
        <v>121</v>
      </c>
      <c r="V263" s="20" t="s">
        <v>122</v>
      </c>
      <c r="W263" s="20" t="s">
        <v>130</v>
      </c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9"/>
    </row>
    <row r="264" spans="1:38" s="8" customFormat="1" ht="12.75">
      <c r="A264" s="16"/>
      <c r="B264" s="16"/>
      <c r="C264" s="16"/>
      <c r="D264" s="16"/>
      <c r="E264" s="16"/>
      <c r="F264" s="16"/>
      <c r="M264" s="24">
        <f>(M261+M262/60+M263/3600)*15</f>
        <v>51.080708333333334</v>
      </c>
      <c r="N264" s="24">
        <f>N261+N262/60+N263/3600</f>
        <v>49.861180555555556</v>
      </c>
      <c r="O264" s="8">
        <f>RADIANS(O263)</f>
        <v>0.8915278305221901</v>
      </c>
      <c r="P264" s="8">
        <f>RADIANS(P263)</f>
        <v>0.8702403824388177</v>
      </c>
      <c r="R264" s="8">
        <f>DEGREES(ASIN(Q263))</f>
        <v>49.89949458033537</v>
      </c>
      <c r="S264" s="8">
        <f>RADIANS(R264)</f>
        <v>0.8709104755079183</v>
      </c>
      <c r="T264" s="8">
        <f>SIN($D$373)*COS(S261)*$A$370+SIN(S261)*$A$373</f>
        <v>2.0980767020959963E-05</v>
      </c>
      <c r="U264" s="22">
        <f>($A$394*U261-U262)*$V$18/COS(S264)</f>
        <v>0.00010340988640247276</v>
      </c>
      <c r="V264" s="22">
        <f>($A$394*V261-V262)*$V$18</f>
        <v>5.298242827643872E-05</v>
      </c>
      <c r="W264" s="8">
        <f>360-W261</f>
        <v>308.70947578385915</v>
      </c>
      <c r="AL264" s="9"/>
    </row>
    <row r="265" spans="1:38" s="8" customFormat="1" ht="12.75">
      <c r="A265" s="16" t="s">
        <v>140</v>
      </c>
      <c r="B265" s="16" t="s">
        <v>140</v>
      </c>
      <c r="C265" s="16" t="s">
        <v>140</v>
      </c>
      <c r="D265" s="16" t="s">
        <v>140</v>
      </c>
      <c r="E265" s="16" t="s">
        <v>140</v>
      </c>
      <c r="F265" s="16" t="s">
        <v>140</v>
      </c>
      <c r="M265" s="16" t="s">
        <v>140</v>
      </c>
      <c r="N265" s="16" t="s">
        <v>6</v>
      </c>
      <c r="O265" s="16" t="s">
        <v>140</v>
      </c>
      <c r="P265" s="16" t="s">
        <v>140</v>
      </c>
      <c r="Q265" s="16" t="s">
        <v>140</v>
      </c>
      <c r="R265" s="16" t="s">
        <v>140</v>
      </c>
      <c r="S265" s="16" t="s">
        <v>140</v>
      </c>
      <c r="T265" s="16" t="s">
        <v>6</v>
      </c>
      <c r="U265" s="16" t="s">
        <v>140</v>
      </c>
      <c r="V265" s="16" t="s">
        <v>140</v>
      </c>
      <c r="W265" s="16" t="s">
        <v>140</v>
      </c>
      <c r="X265" s="16" t="s">
        <v>140</v>
      </c>
      <c r="Y265" s="16" t="s">
        <v>140</v>
      </c>
      <c r="Z265" s="16" t="s">
        <v>6</v>
      </c>
      <c r="AA265" s="16" t="s">
        <v>140</v>
      </c>
      <c r="AB265" s="16" t="s">
        <v>140</v>
      </c>
      <c r="AC265" s="16" t="s">
        <v>140</v>
      </c>
      <c r="AD265" s="16" t="s">
        <v>140</v>
      </c>
      <c r="AE265" s="16" t="s">
        <v>140</v>
      </c>
      <c r="AF265" s="16" t="s">
        <v>6</v>
      </c>
      <c r="AG265" s="16" t="s">
        <v>140</v>
      </c>
      <c r="AH265" s="16" t="s">
        <v>140</v>
      </c>
      <c r="AI265" s="16" t="s">
        <v>140</v>
      </c>
      <c r="AJ265" s="16" t="s">
        <v>140</v>
      </c>
      <c r="AK265" s="16" t="s">
        <v>140</v>
      </c>
      <c r="AL265" s="9"/>
    </row>
    <row r="266" spans="1:38" s="8" customFormat="1" ht="12.75">
      <c r="A266" s="16"/>
      <c r="B266" s="16"/>
      <c r="C266" s="16"/>
      <c r="D266" s="16"/>
      <c r="E266" s="16"/>
      <c r="F266" s="16"/>
      <c r="M266" s="23" t="s">
        <v>104</v>
      </c>
      <c r="N266" s="23" t="s">
        <v>139</v>
      </c>
      <c r="O266" s="23" t="s">
        <v>106</v>
      </c>
      <c r="P266" s="23" t="s">
        <v>107</v>
      </c>
      <c r="Q266" s="8" t="s">
        <v>114</v>
      </c>
      <c r="R266" s="8" t="s">
        <v>104</v>
      </c>
      <c r="S266" s="8" t="s">
        <v>118</v>
      </c>
      <c r="T266" s="8" t="s">
        <v>121</v>
      </c>
      <c r="U266" s="8" t="s">
        <v>125</v>
      </c>
      <c r="V266" s="8" t="s">
        <v>126</v>
      </c>
      <c r="W266" s="8" t="s">
        <v>104</v>
      </c>
      <c r="X266" s="8" t="s">
        <v>139</v>
      </c>
      <c r="Y266" s="8" t="s">
        <v>67</v>
      </c>
      <c r="Z266" s="8" t="s">
        <v>68</v>
      </c>
      <c r="AA266" s="8" t="s">
        <v>69</v>
      </c>
      <c r="AB266" s="8" t="s">
        <v>74</v>
      </c>
      <c r="AC266" s="8" t="s">
        <v>73</v>
      </c>
      <c r="AD266" s="8" t="s">
        <v>70</v>
      </c>
      <c r="AE266" s="24" t="s">
        <v>75</v>
      </c>
      <c r="AF266" s="8" t="s">
        <v>71</v>
      </c>
      <c r="AG266" s="8" t="s">
        <v>72</v>
      </c>
      <c r="AH266" s="25" t="s">
        <v>76</v>
      </c>
      <c r="AI266" s="25" t="s">
        <v>77</v>
      </c>
      <c r="AJ266" s="24" t="s">
        <v>78</v>
      </c>
      <c r="AK266" s="24" t="s">
        <v>79</v>
      </c>
      <c r="AL266" s="9"/>
    </row>
    <row r="267" spans="1:38" s="8" customFormat="1" ht="12.75">
      <c r="A267" s="16" t="s">
        <v>6</v>
      </c>
      <c r="B267" s="26">
        <v>50</v>
      </c>
      <c r="C267" s="27">
        <v>2</v>
      </c>
      <c r="D267" s="18" t="s">
        <v>165</v>
      </c>
      <c r="E267" s="11">
        <f>TRUNC(W270)</f>
        <v>76</v>
      </c>
      <c r="F267" s="12">
        <f>ABS(W270-E267)*60</f>
        <v>0.8597111066819707</v>
      </c>
      <c r="M267" s="23">
        <v>18</v>
      </c>
      <c r="N267" s="23">
        <v>-26</v>
      </c>
      <c r="O267" s="23">
        <v>0.01387</v>
      </c>
      <c r="P267" s="23">
        <v>-0.05265</v>
      </c>
      <c r="Q267" s="8">
        <f>COS(P270)*SIN(O270+$B$381)</f>
        <v>-0.8703068657908359</v>
      </c>
      <c r="R267" s="8">
        <f>DEGREES(ATAN2(Q268,Q267))+$C$381</f>
        <v>-76.01328106891431</v>
      </c>
      <c r="S267" s="8">
        <f>RADIANS(R268)</f>
        <v>4.956503277283157</v>
      </c>
      <c r="T267" s="8">
        <f>(COS($D$373)+SIN($D$373)*SIN(S267)*TAN(S270))*$A$370-COS(S267)*TAN(S270)*$A$373</f>
        <v>9.379121022752069E-05</v>
      </c>
      <c r="U267" s="8">
        <f>COS(S267)*COS($D$394)*COS($D$373)+SIN(S267)*SIN($D$394)</f>
        <v>-0.9953584502375215</v>
      </c>
      <c r="V267" s="8">
        <f>COS($D$394)*COS($D$373)*(TAN($D$373)*COS(S270)-SIN(S267)*SIN(S270))+COS(S267)*SIN(S270)*SIN($D$394)</f>
        <v>-0.09569125911658422</v>
      </c>
      <c r="W267" s="8">
        <f>DEGREES(U270+T267+S267)</f>
        <v>283.9856714815553</v>
      </c>
      <c r="X267" s="8">
        <f>DEGREES(V270+T270+S270)</f>
        <v>-26.282264535493052</v>
      </c>
      <c r="Y267" s="28">
        <f>V270+T270+S270</f>
        <v>-0.4587120510244918</v>
      </c>
      <c r="Z267" s="8">
        <f>RADIANS(A269)</f>
        <v>6.22751836948163</v>
      </c>
      <c r="AA267" s="8">
        <f>Z267+$K$2</f>
        <v>4.133123267088434</v>
      </c>
      <c r="AB267" s="8">
        <f>DEGREES(AA267)</f>
        <v>236.8105194114894</v>
      </c>
      <c r="AC267" s="8">
        <f>AB267-INT(AB267/360)*360</f>
        <v>236.8105194114894</v>
      </c>
      <c r="AD267" s="28">
        <f>SIN(Y267)*SIN($J$2)+COS(Y267)*COS($J$2)*COS(AA267)</f>
        <v>-0.20366603014316906</v>
      </c>
      <c r="AE267" s="28">
        <f>ASIN(AD267)</f>
        <v>-0.2051009858202147</v>
      </c>
      <c r="AF267" s="28">
        <f>(SIN(Y267)-SIN($J$2)*AD267)/(COS($J$2)*COS(AE267))</f>
        <v>-0.6423439842726331</v>
      </c>
      <c r="AG267" s="8">
        <f>DEGREES(ACOS(AF267))</f>
        <v>129.96682739119825</v>
      </c>
      <c r="AH267" s="8">
        <f>IF(AC267&gt;180,AG267,360-AG267)</f>
        <v>129.96682739119825</v>
      </c>
      <c r="AI267" s="8">
        <f>DEGREES(AE267)</f>
        <v>-11.751420861470844</v>
      </c>
      <c r="AJ267" s="28">
        <f>$C$5-AI267</f>
        <v>78.60808752813752</v>
      </c>
      <c r="AK267" s="29">
        <f>$D$5-AH267</f>
        <v>97.93317260880175</v>
      </c>
      <c r="AL267" s="9">
        <f>AJ267*AJ267+AK267*AK267</f>
        <v>15770.137722056686</v>
      </c>
    </row>
    <row r="268" spans="1:38" s="8" customFormat="1" ht="12.75">
      <c r="A268" s="16" t="s">
        <v>137</v>
      </c>
      <c r="B268" s="16" t="s">
        <v>138</v>
      </c>
      <c r="C268" s="16" t="s">
        <v>135</v>
      </c>
      <c r="D268" s="16" t="s">
        <v>139</v>
      </c>
      <c r="E268" s="16" t="s">
        <v>138</v>
      </c>
      <c r="F268" s="16" t="s">
        <v>135</v>
      </c>
      <c r="M268" s="23">
        <v>55</v>
      </c>
      <c r="N268" s="23">
        <v>-17</v>
      </c>
      <c r="O268" s="8" t="s">
        <v>110</v>
      </c>
      <c r="P268" s="8" t="s">
        <v>111</v>
      </c>
      <c r="Q268" s="8">
        <f>COS($F$381)*COS(P270)*COS(O270+$B$381)-SIN($F$381)*SIN(P270)</f>
        <v>0.21564103139524235</v>
      </c>
      <c r="R268" s="8">
        <f>R267-360*INT(R267/360)</f>
        <v>283.9867189310857</v>
      </c>
      <c r="U268" s="8">
        <f>COS(S267)*COS($D$389)*COS($D$373)+SIN(S267)*SIN($D$389)</f>
        <v>0.9946649836003967</v>
      </c>
      <c r="V268" s="8">
        <f>COS($D$389)*COS($D$373)*(TAN($D$373)*COS(S270)-SIN(S267)*SIN(S270))+COS(S267)*SIN(S270)*SIN($D$389)</f>
        <v>0.09816510096632955</v>
      </c>
      <c r="AL268" s="9"/>
    </row>
    <row r="269" spans="1:38" s="8" customFormat="1" ht="12.75">
      <c r="A269" s="10">
        <f>($C$376+E267+F267/60)-INT(($C$376+E267+F267/60)/360)*360</f>
        <v>356.8105194114894</v>
      </c>
      <c r="B269" s="11">
        <f>TRUNC(A269)</f>
        <v>356</v>
      </c>
      <c r="C269" s="12">
        <f>(A269-B269)*60</f>
        <v>48.631164689363686</v>
      </c>
      <c r="D269" s="32" t="str">
        <f>IF(X267&gt;=0,"N","S")</f>
        <v>S</v>
      </c>
      <c r="E269" s="11">
        <f>ABS(TRUNC(X267))</f>
        <v>26</v>
      </c>
      <c r="F269" s="12">
        <f>ABS(X267-TRUNC(X267))*60</f>
        <v>16.93587212958313</v>
      </c>
      <c r="M269" s="30">
        <v>15.926</v>
      </c>
      <c r="N269" s="30">
        <v>-48.2</v>
      </c>
      <c r="O269" s="31">
        <f>M270+O267/3600*$A$367</f>
        <v>283.8164007165342</v>
      </c>
      <c r="P269" s="31">
        <f>N270+P267/3600*$A$367</f>
        <v>-26.296883107263618</v>
      </c>
      <c r="Q269" s="31">
        <f>SIN($F$381)*COS(P270)*COS(O270+$B$381)+COS($F$381)*SIN(P270)</f>
        <v>-0.44279216900948903</v>
      </c>
      <c r="R269" s="31" t="s">
        <v>139</v>
      </c>
      <c r="S269" s="20" t="s">
        <v>119</v>
      </c>
      <c r="T269" s="20" t="s">
        <v>122</v>
      </c>
      <c r="U269" s="20" t="s">
        <v>121</v>
      </c>
      <c r="V269" s="20" t="s">
        <v>122</v>
      </c>
      <c r="W269" s="20" t="s">
        <v>130</v>
      </c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9"/>
    </row>
    <row r="270" spans="1:38" s="8" customFormat="1" ht="12.75">
      <c r="A270" s="16"/>
      <c r="B270" s="16"/>
      <c r="C270" s="16"/>
      <c r="D270" s="16"/>
      <c r="E270" s="16"/>
      <c r="F270" s="16"/>
      <c r="M270" s="24">
        <f>(M267+M268/60+M269/3600)*15</f>
        <v>283.81635833333337</v>
      </c>
      <c r="N270" s="24">
        <f>N267+N268/60+N269/3600</f>
        <v>-26.296722222222225</v>
      </c>
      <c r="O270" s="8">
        <f>RADIANS(O269)</f>
        <v>4.953530663663115</v>
      </c>
      <c r="P270" s="8">
        <f>RADIANS(P269)</f>
        <v>-0.4589671932338273</v>
      </c>
      <c r="R270" s="8">
        <f>DEGREES(ASIN(Q269))</f>
        <v>-26.282168672381207</v>
      </c>
      <c r="S270" s="8">
        <f>RADIANS(R270)</f>
        <v>-0.4587103778975589</v>
      </c>
      <c r="T270" s="8">
        <f>SIN($D$373)*COS(S267)*$A$370+SIN(S267)*$A$373</f>
        <v>8.23988455731278E-06</v>
      </c>
      <c r="U270" s="22">
        <f>($A$394*U267-U268)*$V$18/COS(S270)</f>
        <v>-0.00011207265328135365</v>
      </c>
      <c r="V270" s="22">
        <f>($A$394*V267-V268)*$V$18</f>
        <v>-9.91301149018544E-06</v>
      </c>
      <c r="W270" s="8">
        <f>360-W267</f>
        <v>76.0143285184447</v>
      </c>
      <c r="AL270" s="9"/>
    </row>
    <row r="271" spans="1:38" s="8" customFormat="1" ht="12.75">
      <c r="A271" s="16" t="s">
        <v>140</v>
      </c>
      <c r="B271" s="16" t="s">
        <v>140</v>
      </c>
      <c r="C271" s="16" t="s">
        <v>140</v>
      </c>
      <c r="D271" s="16" t="s">
        <v>140</v>
      </c>
      <c r="E271" s="16" t="s">
        <v>140</v>
      </c>
      <c r="F271" s="16" t="s">
        <v>140</v>
      </c>
      <c r="M271" s="16" t="s">
        <v>140</v>
      </c>
      <c r="N271" s="16" t="s">
        <v>7</v>
      </c>
      <c r="O271" s="16" t="s">
        <v>140</v>
      </c>
      <c r="P271" s="16" t="s">
        <v>140</v>
      </c>
      <c r="Q271" s="16" t="s">
        <v>140</v>
      </c>
      <c r="R271" s="16" t="s">
        <v>140</v>
      </c>
      <c r="S271" s="16" t="s">
        <v>140</v>
      </c>
      <c r="T271" s="16" t="s">
        <v>7</v>
      </c>
      <c r="U271" s="16" t="s">
        <v>140</v>
      </c>
      <c r="V271" s="16" t="s">
        <v>140</v>
      </c>
      <c r="W271" s="16" t="s">
        <v>140</v>
      </c>
      <c r="X271" s="16" t="s">
        <v>140</v>
      </c>
      <c r="Y271" s="16" t="s">
        <v>140</v>
      </c>
      <c r="Z271" s="16" t="s">
        <v>7</v>
      </c>
      <c r="AA271" s="16" t="s">
        <v>140</v>
      </c>
      <c r="AB271" s="16" t="s">
        <v>140</v>
      </c>
      <c r="AC271" s="16" t="s">
        <v>140</v>
      </c>
      <c r="AD271" s="16" t="s">
        <v>140</v>
      </c>
      <c r="AE271" s="16" t="s">
        <v>140</v>
      </c>
      <c r="AF271" s="16" t="s">
        <v>7</v>
      </c>
      <c r="AG271" s="16" t="s">
        <v>140</v>
      </c>
      <c r="AH271" s="16" t="s">
        <v>140</v>
      </c>
      <c r="AI271" s="16" t="s">
        <v>140</v>
      </c>
      <c r="AJ271" s="16" t="s">
        <v>140</v>
      </c>
      <c r="AK271" s="16" t="s">
        <v>140</v>
      </c>
      <c r="AL271" s="9"/>
    </row>
    <row r="272" spans="1:38" s="8" customFormat="1" ht="12.75">
      <c r="A272" s="16"/>
      <c r="B272" s="16"/>
      <c r="C272" s="16"/>
      <c r="D272" s="16"/>
      <c r="E272" s="16"/>
      <c r="F272" s="16"/>
      <c r="M272" s="23" t="s">
        <v>104</v>
      </c>
      <c r="N272" s="23" t="s">
        <v>139</v>
      </c>
      <c r="O272" s="23" t="s">
        <v>106</v>
      </c>
      <c r="P272" s="23" t="s">
        <v>107</v>
      </c>
      <c r="Q272" s="8" t="s">
        <v>114</v>
      </c>
      <c r="R272" s="8" t="s">
        <v>104</v>
      </c>
      <c r="S272" s="8" t="s">
        <v>118</v>
      </c>
      <c r="T272" s="8" t="s">
        <v>121</v>
      </c>
      <c r="U272" s="8" t="s">
        <v>125</v>
      </c>
      <c r="V272" s="8" t="s">
        <v>126</v>
      </c>
      <c r="W272" s="8" t="s">
        <v>104</v>
      </c>
      <c r="X272" s="8" t="s">
        <v>139</v>
      </c>
      <c r="Y272" s="8" t="s">
        <v>67</v>
      </c>
      <c r="Z272" s="8" t="s">
        <v>68</v>
      </c>
      <c r="AA272" s="8" t="s">
        <v>69</v>
      </c>
      <c r="AB272" s="8" t="s">
        <v>74</v>
      </c>
      <c r="AC272" s="8" t="s">
        <v>73</v>
      </c>
      <c r="AD272" s="8" t="s">
        <v>70</v>
      </c>
      <c r="AE272" s="24" t="s">
        <v>75</v>
      </c>
      <c r="AF272" s="8" t="s">
        <v>71</v>
      </c>
      <c r="AG272" s="8" t="s">
        <v>72</v>
      </c>
      <c r="AH272" s="25" t="s">
        <v>76</v>
      </c>
      <c r="AI272" s="25" t="s">
        <v>77</v>
      </c>
      <c r="AJ272" s="24" t="s">
        <v>78</v>
      </c>
      <c r="AK272" s="24" t="s">
        <v>79</v>
      </c>
      <c r="AL272" s="9"/>
    </row>
    <row r="273" spans="1:38" s="8" customFormat="1" ht="12.75">
      <c r="A273" s="16" t="s">
        <v>7</v>
      </c>
      <c r="B273" s="26">
        <v>52</v>
      </c>
      <c r="C273" s="27">
        <v>1.9</v>
      </c>
      <c r="D273" s="18" t="s">
        <v>165</v>
      </c>
      <c r="E273" s="11">
        <f>TRUNC(W276)</f>
        <v>53</v>
      </c>
      <c r="F273" s="12">
        <f>ABS(W276-E273)*60</f>
        <v>22.483677509504787</v>
      </c>
      <c r="M273" s="23">
        <v>20</v>
      </c>
      <c r="N273" s="23">
        <v>-56</v>
      </c>
      <c r="O273" s="23">
        <v>0.00771</v>
      </c>
      <c r="P273" s="23">
        <v>-0.08615</v>
      </c>
      <c r="Q273" s="8">
        <f>COS(P276)*SIN(O276+$B$381)</f>
        <v>-0.4410212953452331</v>
      </c>
      <c r="R273" s="8">
        <f>DEGREES(ATAN2(Q274,Q273))+$C$381</f>
        <v>-53.37214032865407</v>
      </c>
      <c r="S273" s="8">
        <f>RADIANS(R274)</f>
        <v>5.351665729608125</v>
      </c>
      <c r="T273" s="8">
        <f>(COS($D$373)+SIN($D$373)*SIN(S273)*TAN(S276))*$A$370-COS(S273)*TAN(S276)*$A$373</f>
        <v>0.00011870859953623673</v>
      </c>
      <c r="U273" s="8">
        <f>COS(S273)*COS($D$394)*COS($D$373)+SIN(S273)*SIN($D$394)</f>
        <v>-0.9058714619278044</v>
      </c>
      <c r="V273" s="8">
        <f>COS($D$394)*COS($D$373)*(TAN($D$373)*COS(S276)-SIN(S273)*SIN(S276))+COS(S273)*SIN(S276)*SIN($D$394)</f>
        <v>-0.39545469701883473</v>
      </c>
      <c r="W273" s="8">
        <f>DEGREES(U276+T273+S273)</f>
        <v>306.62527204150825</v>
      </c>
      <c r="X273" s="8">
        <f>DEGREES(V276+T276+S276)</f>
        <v>-56.70015575788496</v>
      </c>
      <c r="Y273" s="28">
        <f>V276+T276+S276</f>
        <v>-0.9896044043687133</v>
      </c>
      <c r="Z273" s="8">
        <f>RADIANS(A275)</f>
        <v>5.832382798374099</v>
      </c>
      <c r="AA273" s="8">
        <f>Z273+$K$2</f>
        <v>3.737987695980904</v>
      </c>
      <c r="AB273" s="8">
        <f>DEGREES(AA273)</f>
        <v>214.17091885153647</v>
      </c>
      <c r="AC273" s="8">
        <f>AB273-INT(AB273/360)*360</f>
        <v>214.17091885153647</v>
      </c>
      <c r="AD273" s="28">
        <f>SIN(Y273)*SIN($J$2)+COS(Y273)*COS($J$2)*COS(AA273)</f>
        <v>0.02452035378576345</v>
      </c>
      <c r="AE273" s="28">
        <f>ASIN(AD273)</f>
        <v>0.02452281158539704</v>
      </c>
      <c r="AF273" s="28">
        <f>(SIN(Y273)-SIN($J$2)*AD273)/(COS($J$2)*COS(AE273))</f>
        <v>-0.951238108578186</v>
      </c>
      <c r="AG273" s="8">
        <f>DEGREES(ACOS(AF273))</f>
        <v>162.03370008103929</v>
      </c>
      <c r="AH273" s="8">
        <f>IF(AC273&gt;180,AG273,360-AG273)</f>
        <v>162.03370008103929</v>
      </c>
      <c r="AI273" s="8">
        <f>DEGREES(AE273)</f>
        <v>1.4050536056377694</v>
      </c>
      <c r="AJ273" s="28">
        <f>$C$5-AI273</f>
        <v>65.4516130610289</v>
      </c>
      <c r="AK273" s="29">
        <f>$D$5-AH273</f>
        <v>65.86629991896072</v>
      </c>
      <c r="AL273" s="9">
        <f>AJ273*AJ273+AK273*AK273</f>
        <v>8622.283117305135</v>
      </c>
    </row>
    <row r="274" spans="1:38" s="8" customFormat="1" ht="12.75">
      <c r="A274" s="16" t="s">
        <v>137</v>
      </c>
      <c r="B274" s="16" t="s">
        <v>138</v>
      </c>
      <c r="C274" s="16" t="s">
        <v>135</v>
      </c>
      <c r="D274" s="16" t="s">
        <v>139</v>
      </c>
      <c r="E274" s="16" t="s">
        <v>138</v>
      </c>
      <c r="F274" s="16" t="s">
        <v>135</v>
      </c>
      <c r="M274" s="23">
        <v>25</v>
      </c>
      <c r="N274" s="23">
        <v>-44</v>
      </c>
      <c r="O274" s="8" t="s">
        <v>110</v>
      </c>
      <c r="P274" s="8" t="s">
        <v>111</v>
      </c>
      <c r="Q274" s="8">
        <f>COS($F$381)*COS(P276)*COS(O276+$B$381)-SIN($F$381)*SIN(P276)</f>
        <v>0.3270226467651433</v>
      </c>
      <c r="R274" s="8">
        <f>R273-360*INT(R273/360)</f>
        <v>306.62785967134596</v>
      </c>
      <c r="U274" s="8">
        <f>COS(S273)*COS($D$389)*COS($D$373)+SIN(S273)*SIN($D$389)</f>
        <v>0.890334039159995</v>
      </c>
      <c r="V274" s="8">
        <f>COS($D$389)*COS($D$373)*(TAN($D$373)*COS(S276)-SIN(S273)*SIN(S276))+COS(S273)*SIN(S276)*SIN($D$389)</f>
        <v>0.4161053070445597</v>
      </c>
      <c r="AL274" s="9"/>
    </row>
    <row r="275" spans="1:38" s="8" customFormat="1" ht="12.75">
      <c r="A275" s="10">
        <f>($C$376+E273+F273/60)-INT(($C$376+E273+F273/60)/360)*360</f>
        <v>334.17091885153644</v>
      </c>
      <c r="B275" s="11">
        <f>TRUNC(A275)</f>
        <v>334</v>
      </c>
      <c r="C275" s="12">
        <f>(A275-B275)*60</f>
        <v>10.255131092186502</v>
      </c>
      <c r="D275" s="32" t="str">
        <f>IF(X273&gt;=0,"N","S")</f>
        <v>S</v>
      </c>
      <c r="E275" s="11">
        <f>ABS(TRUNC(X273))</f>
        <v>56</v>
      </c>
      <c r="F275" s="12">
        <f>ABS(X273-TRUNC(X273))*60</f>
        <v>42.009345473097426</v>
      </c>
      <c r="M275" s="30">
        <v>38.858</v>
      </c>
      <c r="N275" s="30">
        <v>-6.32</v>
      </c>
      <c r="O275" s="31">
        <f>M276+O273/3600*$A$367</f>
        <v>306.4119318931371</v>
      </c>
      <c r="P275" s="31">
        <f>N276+P273/3600*$A$367</f>
        <v>-56.735352141430496</v>
      </c>
      <c r="Q275" s="31">
        <f>SIN($F$381)*COS(P276)*COS(O276+$B$381)+COS($F$381)*SIN(P276)</f>
        <v>-0.8357968685959125</v>
      </c>
      <c r="R275" s="31" t="s">
        <v>139</v>
      </c>
      <c r="S275" s="20" t="s">
        <v>119</v>
      </c>
      <c r="T275" s="20" t="s">
        <v>122</v>
      </c>
      <c r="U275" s="20" t="s">
        <v>121</v>
      </c>
      <c r="V275" s="20" t="s">
        <v>122</v>
      </c>
      <c r="W275" s="20" t="s">
        <v>130</v>
      </c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9"/>
    </row>
    <row r="276" spans="1:38" s="8" customFormat="1" ht="12.75">
      <c r="A276" s="16"/>
      <c r="B276" s="16"/>
      <c r="C276" s="16"/>
      <c r="D276" s="16"/>
      <c r="E276" s="16"/>
      <c r="F276" s="16"/>
      <c r="M276" s="24">
        <f>(M273+M274/60+M275/3600)*15</f>
        <v>306.4119083333333</v>
      </c>
      <c r="N276" s="24">
        <f>N273+N274/60+N275/3600</f>
        <v>-56.73508888888889</v>
      </c>
      <c r="O276" s="8">
        <f>RADIANS(O275)</f>
        <v>5.347897078931864</v>
      </c>
      <c r="P276" s="8">
        <f>RADIANS(P275)</f>
        <v>-0.9902186971463777</v>
      </c>
      <c r="R276" s="8">
        <f>DEGREES(ASIN(Q275))</f>
        <v>-56.698904994826634</v>
      </c>
      <c r="S276" s="8">
        <f>RADIANS(R276)</f>
        <v>-0.9895825744351833</v>
      </c>
      <c r="T276" s="8">
        <f>SIN($D$373)*COS(S273)*$A$370+SIN(S273)*$A$373</f>
        <v>2.017277946479254E-05</v>
      </c>
      <c r="U276" s="22">
        <f>($A$394*U273-U274)*$V$18/COS(S276)</f>
        <v>-0.00016387126002646027</v>
      </c>
      <c r="V276" s="22">
        <f>($A$394*V273-V274)*$V$18</f>
        <v>-4.2002712994851326E-05</v>
      </c>
      <c r="W276" s="8">
        <f>360-W273</f>
        <v>53.37472795849175</v>
      </c>
      <c r="AL276" s="9"/>
    </row>
    <row r="277" spans="1:38" s="8" customFormat="1" ht="12.75">
      <c r="A277" s="16" t="s">
        <v>140</v>
      </c>
      <c r="B277" s="16" t="s">
        <v>140</v>
      </c>
      <c r="C277" s="16" t="s">
        <v>140</v>
      </c>
      <c r="D277" s="16" t="s">
        <v>140</v>
      </c>
      <c r="E277" s="16" t="s">
        <v>140</v>
      </c>
      <c r="F277" s="16" t="s">
        <v>140</v>
      </c>
      <c r="M277" s="16" t="s">
        <v>140</v>
      </c>
      <c r="N277" s="16" t="s">
        <v>8</v>
      </c>
      <c r="O277" s="16" t="s">
        <v>140</v>
      </c>
      <c r="P277" s="16" t="s">
        <v>140</v>
      </c>
      <c r="Q277" s="16" t="s">
        <v>140</v>
      </c>
      <c r="R277" s="16" t="s">
        <v>140</v>
      </c>
      <c r="S277" s="16" t="s">
        <v>140</v>
      </c>
      <c r="T277" s="16" t="s">
        <v>8</v>
      </c>
      <c r="U277" s="16" t="s">
        <v>140</v>
      </c>
      <c r="V277" s="16" t="s">
        <v>140</v>
      </c>
      <c r="W277" s="16" t="s">
        <v>140</v>
      </c>
      <c r="X277" s="16" t="s">
        <v>140</v>
      </c>
      <c r="Y277" s="16" t="s">
        <v>140</v>
      </c>
      <c r="Z277" s="16" t="s">
        <v>8</v>
      </c>
      <c r="AA277" s="16" t="s">
        <v>140</v>
      </c>
      <c r="AB277" s="16" t="s">
        <v>140</v>
      </c>
      <c r="AC277" s="16" t="s">
        <v>140</v>
      </c>
      <c r="AD277" s="16" t="s">
        <v>140</v>
      </c>
      <c r="AE277" s="16" t="s">
        <v>140</v>
      </c>
      <c r="AF277" s="16" t="s">
        <v>8</v>
      </c>
      <c r="AG277" s="16" t="s">
        <v>140</v>
      </c>
      <c r="AH277" s="16" t="s">
        <v>140</v>
      </c>
      <c r="AI277" s="16" t="s">
        <v>140</v>
      </c>
      <c r="AJ277" s="16" t="s">
        <v>140</v>
      </c>
      <c r="AK277" s="16" t="s">
        <v>140</v>
      </c>
      <c r="AL277" s="9"/>
    </row>
    <row r="278" spans="1:38" s="8" customFormat="1" ht="12.75">
      <c r="A278" s="16"/>
      <c r="B278" s="16"/>
      <c r="C278" s="16"/>
      <c r="D278" s="16"/>
      <c r="E278" s="16"/>
      <c r="F278" s="16"/>
      <c r="M278" s="23" t="s">
        <v>104</v>
      </c>
      <c r="N278" s="23" t="s">
        <v>139</v>
      </c>
      <c r="O278" s="23" t="s">
        <v>106</v>
      </c>
      <c r="P278" s="23" t="s">
        <v>107</v>
      </c>
      <c r="Q278" s="8" t="s">
        <v>114</v>
      </c>
      <c r="R278" s="8" t="s">
        <v>104</v>
      </c>
      <c r="S278" s="8" t="s">
        <v>118</v>
      </c>
      <c r="T278" s="8" t="s">
        <v>121</v>
      </c>
      <c r="U278" s="8" t="s">
        <v>125</v>
      </c>
      <c r="V278" s="8" t="s">
        <v>126</v>
      </c>
      <c r="W278" s="8" t="s">
        <v>104</v>
      </c>
      <c r="X278" s="8" t="s">
        <v>139</v>
      </c>
      <c r="Y278" s="8" t="s">
        <v>67</v>
      </c>
      <c r="Z278" s="8" t="s">
        <v>68</v>
      </c>
      <c r="AA278" s="8" t="s">
        <v>69</v>
      </c>
      <c r="AB278" s="8" t="s">
        <v>74</v>
      </c>
      <c r="AC278" s="8" t="s">
        <v>73</v>
      </c>
      <c r="AD278" s="8" t="s">
        <v>70</v>
      </c>
      <c r="AE278" s="24" t="s">
        <v>75</v>
      </c>
      <c r="AF278" s="8" t="s">
        <v>71</v>
      </c>
      <c r="AG278" s="8" t="s">
        <v>72</v>
      </c>
      <c r="AH278" s="25" t="s">
        <v>76</v>
      </c>
      <c r="AI278" s="25" t="s">
        <v>77</v>
      </c>
      <c r="AJ278" s="24" t="s">
        <v>78</v>
      </c>
      <c r="AK278" s="24" t="s">
        <v>79</v>
      </c>
      <c r="AL278" s="9"/>
    </row>
    <row r="279" spans="1:38" s="8" customFormat="1" ht="12.75">
      <c r="A279" s="16" t="s">
        <v>8</v>
      </c>
      <c r="B279" s="26">
        <v>21</v>
      </c>
      <c r="C279" s="27">
        <v>1.1</v>
      </c>
      <c r="D279" s="18" t="s">
        <v>165</v>
      </c>
      <c r="E279" s="11">
        <f>TRUNC(W282)</f>
        <v>243</v>
      </c>
      <c r="F279" s="12">
        <f>ABS(W282-E279)*60</f>
        <v>29.47155011851919</v>
      </c>
      <c r="M279" s="23">
        <v>7</v>
      </c>
      <c r="N279" s="23">
        <v>28</v>
      </c>
      <c r="O279" s="23">
        <v>-0.62569</v>
      </c>
      <c r="P279" s="23">
        <v>-0.04596</v>
      </c>
      <c r="Q279" s="8">
        <f>COS(P282)*SIN(O282+$B$381)</f>
        <v>0.7906922131118234</v>
      </c>
      <c r="R279" s="8">
        <f>DEGREES(ATAN2(Q280,Q279))+$C$381</f>
        <v>116.49717619635382</v>
      </c>
      <c r="S279" s="8">
        <f>RADIANS(R280)</f>
        <v>2.033259293902338</v>
      </c>
      <c r="T279" s="8">
        <f>(COS($D$373)+SIN($D$373)*SIN(S279)*TAN(S282))*$A$370-COS(S279)*TAN(S282)*$A$373</f>
        <v>9.366542029205086E-05</v>
      </c>
      <c r="U279" s="8">
        <f>COS(S279)*COS($D$394)*COS($D$373)+SIN(S279)*SIN($D$394)</f>
        <v>0.9645344897960565</v>
      </c>
      <c r="V279" s="8">
        <f>COS($D$394)*COS($D$373)*(TAN($D$373)*COS(S282)-SIN(S279)*SIN(S282))+COS(S279)*SIN(S282)*SIN($D$394)</f>
        <v>-0.19619164972728806</v>
      </c>
      <c r="W279" s="8">
        <f>DEGREES(U282+T279+S279)</f>
        <v>116.50880749802468</v>
      </c>
      <c r="X279" s="8">
        <f>DEGREES(V282+T282+S282)</f>
        <v>27.99679332267264</v>
      </c>
      <c r="Y279" s="28">
        <f>V282+T282+S282</f>
        <v>0.4886362234810008</v>
      </c>
      <c r="Z279" s="8">
        <f>RADIANS(A281)</f>
        <v>2.8673557597293593</v>
      </c>
      <c r="AA279" s="8">
        <f>Z279+$K$2</f>
        <v>0.772960657336164</v>
      </c>
      <c r="AB279" s="8">
        <f>DEGREES(AA279)</f>
        <v>44.287383395020036</v>
      </c>
      <c r="AC279" s="8">
        <f>AB279-INT(AB279/360)*360</f>
        <v>44.287383395020036</v>
      </c>
      <c r="AD279" s="28">
        <f>SIN(Y279)*SIN($J$2)+COS(Y279)*COS($J$2)*COS(AA279)</f>
        <v>0.31268085950968727</v>
      </c>
      <c r="AE279" s="28">
        <f>ASIN(AD279)</f>
        <v>0.318014104805646</v>
      </c>
      <c r="AF279" s="28">
        <f>(SIN(Y279)-SIN($J$2)*AD279)/(COS($J$2)*COS(AE279))</f>
        <v>0.7607118106198615</v>
      </c>
      <c r="AG279" s="8">
        <f>DEGREES(ACOS(AF279))</f>
        <v>40.47301021482975</v>
      </c>
      <c r="AH279" s="8">
        <f>IF(AC279&gt;180,AG279,360-AG279)</f>
        <v>319.52698978517026</v>
      </c>
      <c r="AI279" s="8">
        <f>DEGREES(AE279)</f>
        <v>18.220866030994546</v>
      </c>
      <c r="AJ279" s="28">
        <f>$C$5-AI279</f>
        <v>48.635800635672126</v>
      </c>
      <c r="AK279" s="29">
        <f>$D$5-AH279</f>
        <v>-91.62698978517025</v>
      </c>
      <c r="AL279" s="9">
        <f>AJ279*AJ279+AK279*AK279</f>
        <v>10760.94636056454</v>
      </c>
    </row>
    <row r="280" spans="1:38" s="8" customFormat="1" ht="12.75">
      <c r="A280" s="16" t="s">
        <v>137</v>
      </c>
      <c r="B280" s="16" t="s">
        <v>138</v>
      </c>
      <c r="C280" s="16" t="s">
        <v>135</v>
      </c>
      <c r="D280" s="16" t="s">
        <v>139</v>
      </c>
      <c r="E280" s="16" t="s">
        <v>138</v>
      </c>
      <c r="F280" s="16" t="s">
        <v>135</v>
      </c>
      <c r="M280" s="23">
        <v>45</v>
      </c>
      <c r="N280" s="23">
        <v>1</v>
      </c>
      <c r="O280" s="8" t="s">
        <v>110</v>
      </c>
      <c r="P280" s="8" t="s">
        <v>111</v>
      </c>
      <c r="Q280" s="8">
        <f>COS($F$381)*COS(P282)*COS(O282+$B$381)-SIN($F$381)*SIN(P282)</f>
        <v>-0.392962396303392</v>
      </c>
      <c r="R280" s="8">
        <f>R279-360*INT(R279/360)</f>
        <v>116.49717619635382</v>
      </c>
      <c r="U280" s="8">
        <f>COS(S279)*COS($D$389)*COS($D$373)+SIN(S279)*SIN($D$389)</f>
        <v>-0.9554746502115892</v>
      </c>
      <c r="V280" s="8">
        <f>COS($D$389)*COS($D$373)*(TAN($D$373)*COS(S282)-SIN(S279)*SIN(S282))+COS(S279)*SIN(S282)*SIN($D$389)</f>
        <v>0.1994188518496827</v>
      </c>
      <c r="AL280" s="9"/>
    </row>
    <row r="281" spans="1:38" s="8" customFormat="1" ht="12.75">
      <c r="A281" s="10">
        <f>($C$376+E279+F279/60)-INT(($C$376+E279+F279/60)/360)*360</f>
        <v>164.28738339502002</v>
      </c>
      <c r="B281" s="11">
        <f>TRUNC(A281)</f>
        <v>164</v>
      </c>
      <c r="C281" s="12">
        <f>(A281-B281)*60</f>
        <v>17.243003701200905</v>
      </c>
      <c r="D281" s="32" t="str">
        <f>IF(X279&gt;=0,"N","S")</f>
        <v>N</v>
      </c>
      <c r="E281" s="11">
        <f>ABS(TRUNC(X279))</f>
        <v>27</v>
      </c>
      <c r="F281" s="12">
        <f>ABS(X279-TRUNC(X279))*60</f>
        <v>59.80759936035845</v>
      </c>
      <c r="M281" s="30">
        <v>18.95</v>
      </c>
      <c r="N281" s="30">
        <v>34.31</v>
      </c>
      <c r="O281" s="31">
        <f>M282+O279/3600*$A$367</f>
        <v>116.32704638344639</v>
      </c>
      <c r="P281" s="31">
        <f>N282+P279/3600*$A$367</f>
        <v>28.02605678012341</v>
      </c>
      <c r="Q281" s="31">
        <f>SIN($F$381)*COS(P282)*COS(O282+$B$381)+COS($F$381)*SIN(P282)</f>
        <v>0.4694532769252151</v>
      </c>
      <c r="R281" s="31" t="s">
        <v>139</v>
      </c>
      <c r="S281" s="20" t="s">
        <v>119</v>
      </c>
      <c r="T281" s="20" t="s">
        <v>122</v>
      </c>
      <c r="U281" s="20" t="s">
        <v>121</v>
      </c>
      <c r="V281" s="20" t="s">
        <v>122</v>
      </c>
      <c r="W281" s="20" t="s">
        <v>130</v>
      </c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9"/>
    </row>
    <row r="282" spans="1:38" s="8" customFormat="1" ht="12.75">
      <c r="A282" s="16"/>
      <c r="B282" s="16"/>
      <c r="C282" s="16"/>
      <c r="D282" s="16"/>
      <c r="E282" s="16"/>
      <c r="F282" s="16"/>
      <c r="M282" s="24">
        <f>(M279+M280/60+M281/3600)*15</f>
        <v>116.32895833333333</v>
      </c>
      <c r="N282" s="24">
        <f>N279+N280/60+N281/3600</f>
        <v>28.026197222222223</v>
      </c>
      <c r="O282" s="8">
        <f>RADIANS(O281)</f>
        <v>2.0302899685113016</v>
      </c>
      <c r="P282" s="8">
        <f>RADIANS(P281)</f>
        <v>0.489146967164034</v>
      </c>
      <c r="R282" s="8">
        <f>DEGREES(ASIN(Q281))</f>
        <v>27.99881340989931</v>
      </c>
      <c r="S282" s="8">
        <f>RADIANS(R282)</f>
        <v>0.4886714806542837</v>
      </c>
      <c r="T282" s="8">
        <f>SIN($D$373)*COS(S279)*$A$370+SIN(S279)*$A$373</f>
        <v>-1.5116264167747E-05</v>
      </c>
      <c r="U282" s="22">
        <f>($A$394*U279-U280)*$V$18/COS(S282)</f>
        <v>0.00010933909015708409</v>
      </c>
      <c r="V282" s="22">
        <f>($A$394*V279-V280)*$V$18</f>
        <v>-2.0140909115130758E-05</v>
      </c>
      <c r="W282" s="8">
        <f>360-W279</f>
        <v>243.49119250197532</v>
      </c>
      <c r="AL282" s="9"/>
    </row>
    <row r="283" spans="1:38" s="8" customFormat="1" ht="12.75">
      <c r="A283" s="16" t="s">
        <v>140</v>
      </c>
      <c r="B283" s="16" t="s">
        <v>140</v>
      </c>
      <c r="C283" s="16" t="s">
        <v>140</v>
      </c>
      <c r="D283" s="16" t="s">
        <v>140</v>
      </c>
      <c r="E283" s="16" t="s">
        <v>140</v>
      </c>
      <c r="F283" s="16" t="s">
        <v>140</v>
      </c>
      <c r="M283" s="16" t="s">
        <v>140</v>
      </c>
      <c r="N283" s="16" t="s">
        <v>9</v>
      </c>
      <c r="O283" s="16" t="s">
        <v>140</v>
      </c>
      <c r="P283" s="16" t="s">
        <v>140</v>
      </c>
      <c r="Q283" s="16" t="s">
        <v>140</v>
      </c>
      <c r="R283" s="16" t="s">
        <v>140</v>
      </c>
      <c r="S283" s="16" t="s">
        <v>140</v>
      </c>
      <c r="T283" s="16" t="s">
        <v>9</v>
      </c>
      <c r="U283" s="16" t="s">
        <v>140</v>
      </c>
      <c r="V283" s="16" t="s">
        <v>140</v>
      </c>
      <c r="W283" s="16" t="s">
        <v>140</v>
      </c>
      <c r="X283" s="16" t="s">
        <v>140</v>
      </c>
      <c r="Y283" s="16" t="s">
        <v>140</v>
      </c>
      <c r="Z283" s="16" t="s">
        <v>9</v>
      </c>
      <c r="AA283" s="16" t="s">
        <v>140</v>
      </c>
      <c r="AB283" s="16" t="s">
        <v>140</v>
      </c>
      <c r="AC283" s="16" t="s">
        <v>140</v>
      </c>
      <c r="AD283" s="16" t="s">
        <v>140</v>
      </c>
      <c r="AE283" s="16" t="s">
        <v>140</v>
      </c>
      <c r="AF283" s="16" t="s">
        <v>9</v>
      </c>
      <c r="AG283" s="16" t="s">
        <v>140</v>
      </c>
      <c r="AH283" s="16" t="s">
        <v>140</v>
      </c>
      <c r="AI283" s="16" t="s">
        <v>140</v>
      </c>
      <c r="AJ283" s="16" t="s">
        <v>140</v>
      </c>
      <c r="AK283" s="16" t="s">
        <v>140</v>
      </c>
      <c r="AL283" s="9"/>
    </row>
    <row r="284" spans="1:38" s="8" customFormat="1" ht="12.75">
      <c r="A284" s="16"/>
      <c r="B284" s="16"/>
      <c r="C284" s="16"/>
      <c r="D284" s="16"/>
      <c r="E284" s="16"/>
      <c r="F284" s="16"/>
      <c r="M284" s="23" t="s">
        <v>104</v>
      </c>
      <c r="N284" s="23" t="s">
        <v>139</v>
      </c>
      <c r="O284" s="23" t="s">
        <v>106</v>
      </c>
      <c r="P284" s="23" t="s">
        <v>107</v>
      </c>
      <c r="Q284" s="8" t="s">
        <v>114</v>
      </c>
      <c r="R284" s="8" t="s">
        <v>104</v>
      </c>
      <c r="S284" s="8" t="s">
        <v>118</v>
      </c>
      <c r="T284" s="8" t="s">
        <v>121</v>
      </c>
      <c r="U284" s="8" t="s">
        <v>125</v>
      </c>
      <c r="V284" s="8" t="s">
        <v>126</v>
      </c>
      <c r="W284" s="8" t="s">
        <v>104</v>
      </c>
      <c r="X284" s="8" t="s">
        <v>139</v>
      </c>
      <c r="Y284" s="8" t="s">
        <v>67</v>
      </c>
      <c r="Z284" s="8" t="s">
        <v>68</v>
      </c>
      <c r="AA284" s="8" t="s">
        <v>69</v>
      </c>
      <c r="AB284" s="8" t="s">
        <v>74</v>
      </c>
      <c r="AC284" s="8" t="s">
        <v>73</v>
      </c>
      <c r="AD284" s="8" t="s">
        <v>70</v>
      </c>
      <c r="AE284" s="24" t="s">
        <v>75</v>
      </c>
      <c r="AF284" s="8" t="s">
        <v>71</v>
      </c>
      <c r="AG284" s="8" t="s">
        <v>72</v>
      </c>
      <c r="AH284" s="25" t="s">
        <v>76</v>
      </c>
      <c r="AI284" s="25" t="s">
        <v>77</v>
      </c>
      <c r="AJ284" s="24" t="s">
        <v>78</v>
      </c>
      <c r="AK284" s="24" t="s">
        <v>79</v>
      </c>
      <c r="AL284" s="9"/>
    </row>
    <row r="285" spans="1:38" s="8" customFormat="1" ht="12.75">
      <c r="A285" s="16" t="s">
        <v>9</v>
      </c>
      <c r="B285" s="26">
        <v>20</v>
      </c>
      <c r="C285" s="27">
        <v>0.4</v>
      </c>
      <c r="D285" s="18" t="s">
        <v>165</v>
      </c>
      <c r="E285" s="11">
        <f>TRUNC(W288)</f>
        <v>245</v>
      </c>
      <c r="F285" s="12">
        <f>ABS(W288-E285)*60</f>
        <v>1.2287456000325392</v>
      </c>
      <c r="M285" s="23">
        <v>7</v>
      </c>
      <c r="N285" s="23">
        <v>5</v>
      </c>
      <c r="O285" s="23">
        <v>-0.71658</v>
      </c>
      <c r="P285" s="23">
        <v>-1.0346</v>
      </c>
      <c r="Q285" s="8">
        <f>COS(P288)*SIN(O288+$B$381)</f>
        <v>0.9033251389687282</v>
      </c>
      <c r="R285" s="8">
        <f>DEGREES(ATAN2(Q286,Q285))+$C$381</f>
        <v>114.96931556559623</v>
      </c>
      <c r="S285" s="8">
        <f>RADIANS(R286)</f>
        <v>2.006593095384021</v>
      </c>
      <c r="T285" s="8">
        <f>(COS($D$373)+SIN($D$373)*SIN(S285)*TAN(S288))*$A$370-COS(S285)*TAN(S288)*$A$373</f>
        <v>8.044022086418121E-05</v>
      </c>
      <c r="U285" s="8">
        <f>COS(S285)*COS($D$394)*COS($D$373)+SIN(S285)*SIN($D$394)</f>
        <v>0.9708045249574442</v>
      </c>
      <c r="V285" s="8">
        <f>COS($D$394)*COS($D$373)*(TAN($D$373)*COS(S288)-SIN(S285)*SIN(S288))+COS(S285)*SIN(S288)*SIN($D$394)</f>
        <v>-0.11008406668234594</v>
      </c>
      <c r="W285" s="8">
        <f>DEGREES(U288+T285+S285)</f>
        <v>114.97952090666612</v>
      </c>
      <c r="X285" s="8">
        <f>DEGREES(V288+T288+S288)</f>
        <v>5.19466629015128</v>
      </c>
      <c r="Y285" s="28">
        <f>V288+T288+S288</f>
        <v>0.09066403030549891</v>
      </c>
      <c r="Z285" s="8">
        <f>RADIANS(A287)</f>
        <v>2.8940468459551667</v>
      </c>
      <c r="AA285" s="8">
        <f>Z285+$K$2</f>
        <v>0.7996517435619714</v>
      </c>
      <c r="AB285" s="8">
        <f>DEGREES(AA285)</f>
        <v>45.816669986378564</v>
      </c>
      <c r="AC285" s="8">
        <f>AB285-INT(AB285/360)*360</f>
        <v>45.816669986378564</v>
      </c>
      <c r="AD285" s="28">
        <f>SIN(Y285)*SIN($J$2)+COS(Y285)*COS($J$2)*COS(AA285)</f>
        <v>0.5558330772757123</v>
      </c>
      <c r="AE285" s="28">
        <f>ASIN(AD285)</f>
        <v>0.5893647760455378</v>
      </c>
      <c r="AF285" s="28">
        <f>(SIN(Y285)-SIN($J$2)*AD285)/(COS($J$2)*COS(AE285))</f>
        <v>0.5118007036342421</v>
      </c>
      <c r="AG285" s="8">
        <f>DEGREES(ACOS(AF285))</f>
        <v>59.216151686859334</v>
      </c>
      <c r="AH285" s="8">
        <f>IF(AC285&gt;180,AG285,360-AG285)</f>
        <v>300.78384831314065</v>
      </c>
      <c r="AI285" s="8">
        <f>DEGREES(AE285)</f>
        <v>33.768114261082275</v>
      </c>
      <c r="AJ285" s="28">
        <f>$C$5-AI285</f>
        <v>33.088552405584394</v>
      </c>
      <c r="AK285" s="29">
        <f>$D$5-AH285</f>
        <v>-72.88384831314065</v>
      </c>
      <c r="AL285" s="9">
        <f>AJ285*AJ285+AK285*AK285</f>
        <v>6406.90764523</v>
      </c>
    </row>
    <row r="286" spans="1:38" s="8" customFormat="1" ht="12.75">
      <c r="A286" s="16" t="s">
        <v>137</v>
      </c>
      <c r="B286" s="16" t="s">
        <v>138</v>
      </c>
      <c r="C286" s="16" t="s">
        <v>135</v>
      </c>
      <c r="D286" s="16" t="s">
        <v>139</v>
      </c>
      <c r="E286" s="16" t="s">
        <v>138</v>
      </c>
      <c r="F286" s="16" t="s">
        <v>135</v>
      </c>
      <c r="M286" s="23">
        <v>39</v>
      </c>
      <c r="N286" s="23">
        <v>13</v>
      </c>
      <c r="O286" s="8" t="s">
        <v>110</v>
      </c>
      <c r="P286" s="8" t="s">
        <v>111</v>
      </c>
      <c r="Q286" s="8">
        <f>COS($F$381)*COS(P288)*COS(O288+$B$381)-SIN($F$381)*SIN(P288)</f>
        <v>-0.41928733433623655</v>
      </c>
      <c r="R286" s="8">
        <f>R285-360*INT(R285/360)</f>
        <v>114.96931556559623</v>
      </c>
      <c r="U286" s="8">
        <f>COS(S285)*COS($D$389)*COS($D$373)+SIN(S285)*SIN($D$389)</f>
        <v>-0.9627512282058207</v>
      </c>
      <c r="V286" s="8">
        <f>COS($D$389)*COS($D$373)*(TAN($D$373)*COS(S288)-SIN(S285)*SIN(S288))+COS(S285)*SIN(S288)*SIN($D$389)</f>
        <v>0.09722775173212109</v>
      </c>
      <c r="AL286" s="9"/>
    </row>
    <row r="287" spans="1:38" s="8" customFormat="1" ht="12.75">
      <c r="A287" s="10">
        <f>($C$376+E285+F285/60)-INT(($C$376+E285+F285/60)/360)*360</f>
        <v>165.81666998637854</v>
      </c>
      <c r="B287" s="11">
        <f>TRUNC(A287)</f>
        <v>165</v>
      </c>
      <c r="C287" s="12">
        <f>(A287-B287)*60</f>
        <v>49.00019918271255</v>
      </c>
      <c r="D287" s="32" t="str">
        <f>IF(X285&gt;=0,"N","S")</f>
        <v>N</v>
      </c>
      <c r="E287" s="11">
        <f>ABS(TRUNC(X285))</f>
        <v>5</v>
      </c>
      <c r="F287" s="12">
        <f>ABS(X285-TRUNC(X285))*60</f>
        <v>11.67997740907678</v>
      </c>
      <c r="M287" s="30">
        <v>18.118</v>
      </c>
      <c r="N287" s="30">
        <v>29.98</v>
      </c>
      <c r="O287" s="31">
        <f>M288+O285/3600*$A$367</f>
        <v>114.82330198000078</v>
      </c>
      <c r="P287" s="31">
        <f>N288+P285/3600*$A$367</f>
        <v>5.221832969348092</v>
      </c>
      <c r="Q287" s="31">
        <f>SIN($F$381)*COS(P288)*COS(O288+$B$381)+COS($F$381)*SIN(P288)</f>
        <v>0.09056392533642069</v>
      </c>
      <c r="R287" s="31" t="s">
        <v>139</v>
      </c>
      <c r="S287" s="20" t="s">
        <v>119</v>
      </c>
      <c r="T287" s="20" t="s">
        <v>122</v>
      </c>
      <c r="U287" s="20" t="s">
        <v>121</v>
      </c>
      <c r="V287" s="20" t="s">
        <v>122</v>
      </c>
      <c r="W287" s="20" t="s">
        <v>130</v>
      </c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9"/>
    </row>
    <row r="288" spans="1:38" s="8" customFormat="1" ht="12.75">
      <c r="A288" s="16"/>
      <c r="B288" s="16"/>
      <c r="C288" s="16"/>
      <c r="D288" s="16"/>
      <c r="E288" s="16"/>
      <c r="F288" s="16"/>
      <c r="M288" s="24">
        <f>(M285+M286/60+M287/3600)*15</f>
        <v>114.82549166666668</v>
      </c>
      <c r="N288" s="24">
        <f>N285+N286/60+N287/3600</f>
        <v>5.2249944444444445</v>
      </c>
      <c r="O288" s="8">
        <f>RADIANS(O287)</f>
        <v>2.004044677562738</v>
      </c>
      <c r="P288" s="8">
        <f>RADIANS(P287)</f>
        <v>0.09113817830431634</v>
      </c>
      <c r="R288" s="8">
        <f>DEGREES(ASIN(Q287))</f>
        <v>5.196050122415818</v>
      </c>
      <c r="S288" s="8">
        <f>RADIANS(R288)</f>
        <v>0.09068818273481045</v>
      </c>
      <c r="T288" s="8">
        <f>SIN($D$373)*COS(S285)*$A$370+SIN(S285)*$A$373</f>
        <v>-1.430866849497333E-05</v>
      </c>
      <c r="U288" s="22">
        <f>($A$394*U285-U286)*$V$18/COS(S288)</f>
        <v>9.76765820943907E-05</v>
      </c>
      <c r="V288" s="22">
        <f>($A$394*V285-V286)*$V$18</f>
        <v>-9.843760816574934E-06</v>
      </c>
      <c r="W288" s="8">
        <f>360-W285</f>
        <v>245.02047909333388</v>
      </c>
      <c r="AL288" s="9"/>
    </row>
    <row r="289" spans="1:38" s="8" customFormat="1" ht="12.75">
      <c r="A289" s="16" t="s">
        <v>140</v>
      </c>
      <c r="B289" s="16" t="s">
        <v>140</v>
      </c>
      <c r="C289" s="16" t="s">
        <v>140</v>
      </c>
      <c r="D289" s="16" t="s">
        <v>140</v>
      </c>
      <c r="E289" s="16" t="s">
        <v>140</v>
      </c>
      <c r="F289" s="16" t="s">
        <v>140</v>
      </c>
      <c r="M289" s="16" t="s">
        <v>140</v>
      </c>
      <c r="N289" s="16" t="s">
        <v>10</v>
      </c>
      <c r="O289" s="16" t="s">
        <v>140</v>
      </c>
      <c r="P289" s="16" t="s">
        <v>140</v>
      </c>
      <c r="Q289" s="16" t="s">
        <v>140</v>
      </c>
      <c r="R289" s="16" t="s">
        <v>140</v>
      </c>
      <c r="S289" s="16" t="s">
        <v>140</v>
      </c>
      <c r="T289" s="16" t="s">
        <v>10</v>
      </c>
      <c r="U289" s="16" t="s">
        <v>140</v>
      </c>
      <c r="V289" s="16" t="s">
        <v>140</v>
      </c>
      <c r="W289" s="16" t="s">
        <v>140</v>
      </c>
      <c r="X289" s="16" t="s">
        <v>140</v>
      </c>
      <c r="Y289" s="16" t="s">
        <v>140</v>
      </c>
      <c r="Z289" s="16" t="s">
        <v>10</v>
      </c>
      <c r="AA289" s="16" t="s">
        <v>140</v>
      </c>
      <c r="AB289" s="16" t="s">
        <v>140</v>
      </c>
      <c r="AC289" s="16" t="s">
        <v>140</v>
      </c>
      <c r="AD289" s="16" t="s">
        <v>140</v>
      </c>
      <c r="AE289" s="16" t="s">
        <v>140</v>
      </c>
      <c r="AF289" s="16" t="s">
        <v>10</v>
      </c>
      <c r="AG289" s="16" t="s">
        <v>140</v>
      </c>
      <c r="AH289" s="16" t="s">
        <v>140</v>
      </c>
      <c r="AI289" s="16" t="s">
        <v>140</v>
      </c>
      <c r="AJ289" s="16" t="s">
        <v>140</v>
      </c>
      <c r="AK289" s="16" t="s">
        <v>140</v>
      </c>
      <c r="AL289" s="9"/>
    </row>
    <row r="290" spans="1:38" s="8" customFormat="1" ht="12.75">
      <c r="A290" s="16"/>
      <c r="B290" s="16"/>
      <c r="C290" s="16"/>
      <c r="D290" s="16"/>
      <c r="E290" s="16"/>
      <c r="F290" s="16"/>
      <c r="M290" s="23" t="s">
        <v>104</v>
      </c>
      <c r="N290" s="23" t="s">
        <v>139</v>
      </c>
      <c r="O290" s="23" t="s">
        <v>106</v>
      </c>
      <c r="P290" s="23" t="s">
        <v>107</v>
      </c>
      <c r="Q290" s="8" t="s">
        <v>114</v>
      </c>
      <c r="R290" s="8" t="s">
        <v>104</v>
      </c>
      <c r="S290" s="8" t="s">
        <v>118</v>
      </c>
      <c r="T290" s="8" t="s">
        <v>121</v>
      </c>
      <c r="U290" s="8" t="s">
        <v>125</v>
      </c>
      <c r="V290" s="8" t="s">
        <v>126</v>
      </c>
      <c r="W290" s="8" t="s">
        <v>104</v>
      </c>
      <c r="X290" s="8" t="s">
        <v>139</v>
      </c>
      <c r="Y290" s="8" t="s">
        <v>67</v>
      </c>
      <c r="Z290" s="8" t="s">
        <v>68</v>
      </c>
      <c r="AA290" s="8" t="s">
        <v>69</v>
      </c>
      <c r="AB290" s="8" t="s">
        <v>74</v>
      </c>
      <c r="AC290" s="8" t="s">
        <v>73</v>
      </c>
      <c r="AD290" s="8" t="s">
        <v>70</v>
      </c>
      <c r="AE290" s="24" t="s">
        <v>75</v>
      </c>
      <c r="AF290" s="8" t="s">
        <v>71</v>
      </c>
      <c r="AG290" s="8" t="s">
        <v>72</v>
      </c>
      <c r="AH290" s="25" t="s">
        <v>76</v>
      </c>
      <c r="AI290" s="25" t="s">
        <v>77</v>
      </c>
      <c r="AJ290" s="24" t="s">
        <v>78</v>
      </c>
      <c r="AK290" s="24" t="s">
        <v>79</v>
      </c>
      <c r="AL290" s="9"/>
    </row>
    <row r="291" spans="1:38" s="8" customFormat="1" ht="12.75">
      <c r="A291" s="16" t="s">
        <v>10</v>
      </c>
      <c r="B291" s="26">
        <v>46</v>
      </c>
      <c r="C291" s="27">
        <v>2.1</v>
      </c>
      <c r="D291" s="18" t="s">
        <v>165</v>
      </c>
      <c r="E291" s="11">
        <f>TRUNC(W294)</f>
        <v>96</v>
      </c>
      <c r="F291" s="12">
        <f>ABS(W294-E291)*60</f>
        <v>8.418672820877191</v>
      </c>
      <c r="M291" s="23">
        <v>17</v>
      </c>
      <c r="N291" s="23">
        <v>12</v>
      </c>
      <c r="O291" s="23">
        <v>0.11008</v>
      </c>
      <c r="P291" s="23">
        <v>-0.22261</v>
      </c>
      <c r="Q291" s="8">
        <f>COS(P294)*SIN(O294+$B$381)</f>
        <v>-0.9703703519965151</v>
      </c>
      <c r="R291" s="8">
        <f>DEGREES(ATAN2(Q292,Q291))+$C$381</f>
        <v>-96.13865032586033</v>
      </c>
      <c r="S291" s="8">
        <f>RADIANS(R292)</f>
        <v>4.605249320569804</v>
      </c>
      <c r="T291" s="8">
        <f>(COS($D$373)+SIN($D$373)*SIN(S291)*TAN(S294))*$A$370-COS(S291)*TAN(S294)*$A$373</f>
        <v>7.021173700784459E-05</v>
      </c>
      <c r="U291" s="8">
        <f>COS(S291)*COS($D$394)*COS($D$373)+SIN(S291)*SIN($D$394)</f>
        <v>-0.946005477544347</v>
      </c>
      <c r="V291" s="8">
        <f>COS($D$394)*COS($D$373)*(TAN($D$373)*COS(S294)-SIN(S291)*SIN(S294))+COS(S291)*SIN(S294)*SIN($D$394)</f>
        <v>-0.1558310497995531</v>
      </c>
      <c r="W291" s="8">
        <f>DEGREES(U294+T291+S291)</f>
        <v>263.8596887863187</v>
      </c>
      <c r="X291" s="8">
        <f>DEGREES(V294+T294+S294)</f>
        <v>12.551769956174288</v>
      </c>
      <c r="Y291" s="28">
        <f>V294+T294+S294</f>
        <v>0.21906971268814568</v>
      </c>
      <c r="Z291" s="8">
        <f>RADIANS(A293)</f>
        <v>0.2955977255333244</v>
      </c>
      <c r="AA291" s="8">
        <f>Z291+$K$2</f>
        <v>-1.7987973768598708</v>
      </c>
      <c r="AB291" s="8">
        <f>DEGREES(AA291)</f>
        <v>-103.063497893274</v>
      </c>
      <c r="AC291" s="8">
        <f>AB291-INT(AB291/360)*360</f>
        <v>256.936502106726</v>
      </c>
      <c r="AD291" s="28">
        <f>SIN(Y291)*SIN($J$2)+COS(Y291)*COS($J$2)*COS(AA291)</f>
        <v>-0.2997308333975053</v>
      </c>
      <c r="AE291" s="28">
        <f>ASIN(AD291)</f>
        <v>-0.3044105032616503</v>
      </c>
      <c r="AF291" s="28">
        <f>(SIN(Y291)-SIN($J$2)*AD291)/(COS($J$2)*COS(AE291))</f>
        <v>0.08164551460547986</v>
      </c>
      <c r="AG291" s="8">
        <f>DEGREES(ACOS(AF291))</f>
        <v>85.3168437574446</v>
      </c>
      <c r="AH291" s="8">
        <f>IF(AC291&gt;180,AG291,360-AG291)</f>
        <v>85.3168437574446</v>
      </c>
      <c r="AI291" s="8">
        <f>DEGREES(AE291)</f>
        <v>-17.441437076345945</v>
      </c>
      <c r="AJ291" s="28">
        <f>$C$5-AI291</f>
        <v>84.29810374301262</v>
      </c>
      <c r="AK291" s="29">
        <f>$D$5-AH291</f>
        <v>142.5831562425554</v>
      </c>
      <c r="AL291" s="9">
        <f>AJ291*AJ291+AK291*AK291</f>
        <v>27436.12673875668</v>
      </c>
    </row>
    <row r="292" spans="1:38" s="8" customFormat="1" ht="12.75">
      <c r="A292" s="16" t="s">
        <v>137</v>
      </c>
      <c r="B292" s="16" t="s">
        <v>138</v>
      </c>
      <c r="C292" s="16" t="s">
        <v>135</v>
      </c>
      <c r="D292" s="16" t="s">
        <v>139</v>
      </c>
      <c r="E292" s="16" t="s">
        <v>138</v>
      </c>
      <c r="F292" s="16" t="s">
        <v>135</v>
      </c>
      <c r="M292" s="23">
        <v>34</v>
      </c>
      <c r="N292" s="23">
        <v>33</v>
      </c>
      <c r="O292" s="8" t="s">
        <v>110</v>
      </c>
      <c r="P292" s="8" t="s">
        <v>111</v>
      </c>
      <c r="Q292" s="8">
        <f>COS($F$381)*COS(P294)*COS(O294+$B$381)-SIN($F$381)*SIN(P294)</f>
        <v>-0.1055723438325166</v>
      </c>
      <c r="R292" s="8">
        <f>R291-360*INT(R291/360)</f>
        <v>263.86134967413966</v>
      </c>
      <c r="U292" s="8">
        <f>COS(S291)*COS($D$389)*COS($D$373)+SIN(S291)*SIN($D$389)</f>
        <v>0.958669643647771</v>
      </c>
      <c r="V292" s="8">
        <f>COS($D$389)*COS($D$373)*(TAN($D$373)*COS(S294)-SIN(S291)*SIN(S294))+COS(S291)*SIN(S294)*SIN($D$389)</f>
        <v>0.13192082380887737</v>
      </c>
      <c r="AL292" s="9"/>
    </row>
    <row r="293" spans="1:38" s="8" customFormat="1" ht="12.75">
      <c r="A293" s="10">
        <f>($C$376+E291+F291/60)-INT(($C$376+E291+F291/60)/360)*360</f>
        <v>16.93650210672598</v>
      </c>
      <c r="B293" s="11">
        <f>TRUNC(A293)</f>
        <v>16</v>
      </c>
      <c r="C293" s="12">
        <f>(A293-B293)*60</f>
        <v>56.19012640355891</v>
      </c>
      <c r="D293" s="32" t="str">
        <f>IF(X291&gt;=0,"N","S")</f>
        <v>N</v>
      </c>
      <c r="E293" s="11">
        <f>ABS(TRUNC(X291))</f>
        <v>12</v>
      </c>
      <c r="F293" s="12">
        <f>ABS(X291-TRUNC(X291))*60</f>
        <v>33.1061973704573</v>
      </c>
      <c r="M293" s="30">
        <v>56.07</v>
      </c>
      <c r="N293" s="30">
        <v>36.12</v>
      </c>
      <c r="O293" s="31">
        <f>M294+O291/3600*$A$367</f>
        <v>263.7339613765499</v>
      </c>
      <c r="P293" s="31">
        <f>N294+P291/3600*$A$367</f>
        <v>12.559353093655004</v>
      </c>
      <c r="Q293" s="31">
        <f>SIN($F$381)*COS(P294)*COS(O294+$B$381)+COS($F$381)*SIN(P294)</f>
        <v>0.21733812409208933</v>
      </c>
      <c r="R293" s="31" t="s">
        <v>139</v>
      </c>
      <c r="S293" s="20" t="s">
        <v>119</v>
      </c>
      <c r="T293" s="20" t="s">
        <v>122</v>
      </c>
      <c r="U293" s="20" t="s">
        <v>121</v>
      </c>
      <c r="V293" s="20" t="s">
        <v>122</v>
      </c>
      <c r="W293" s="20" t="s">
        <v>130</v>
      </c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9"/>
    </row>
    <row r="294" spans="1:38" s="8" customFormat="1" ht="12.75">
      <c r="A294" s="16"/>
      <c r="B294" s="16"/>
      <c r="C294" s="16"/>
      <c r="D294" s="16"/>
      <c r="E294" s="16"/>
      <c r="F294" s="16"/>
      <c r="M294" s="24">
        <f>(M291+M292/60+M293/3600)*15</f>
        <v>263.73362499999996</v>
      </c>
      <c r="N294" s="24">
        <f>N291+N292/60+N293/3600</f>
        <v>12.560033333333333</v>
      </c>
      <c r="O294" s="8">
        <f>RADIANS(O293)</f>
        <v>4.603025975348353</v>
      </c>
      <c r="P294" s="8">
        <f>RADIANS(P293)</f>
        <v>0.21920206340481557</v>
      </c>
      <c r="R294" s="8">
        <f>DEGREES(ASIN(Q293))</f>
        <v>12.552736157364611</v>
      </c>
      <c r="S294" s="8">
        <f>RADIANS(R294)</f>
        <v>0.21908657608015353</v>
      </c>
      <c r="T294" s="8">
        <f>SIN($D$373)*COS(S291)*$A$370+SIN(S291)*$A$373</f>
        <v>-3.4964205140183444E-06</v>
      </c>
      <c r="U294" s="22">
        <f>($A$394*U291-U292)*$V$18/COS(S294)</f>
        <v>-9.919969798935384E-05</v>
      </c>
      <c r="V294" s="22">
        <f>($A$394*V291-V292)*$V$18</f>
        <v>-1.3366971493818048E-05</v>
      </c>
      <c r="W294" s="8">
        <f>360-W291</f>
        <v>96.14031121368129</v>
      </c>
      <c r="AL294" s="9"/>
    </row>
    <row r="295" spans="1:38" s="8" customFormat="1" ht="12.75">
      <c r="A295" s="16" t="s">
        <v>140</v>
      </c>
      <c r="B295" s="16" t="s">
        <v>140</v>
      </c>
      <c r="C295" s="16" t="s">
        <v>140</v>
      </c>
      <c r="D295" s="16" t="s">
        <v>140</v>
      </c>
      <c r="E295" s="16" t="s">
        <v>140</v>
      </c>
      <c r="F295" s="16" t="s">
        <v>140</v>
      </c>
      <c r="M295" s="16" t="s">
        <v>140</v>
      </c>
      <c r="N295" s="16" t="s">
        <v>11</v>
      </c>
      <c r="O295" s="16" t="s">
        <v>140</v>
      </c>
      <c r="P295" s="16" t="s">
        <v>140</v>
      </c>
      <c r="Q295" s="16" t="s">
        <v>140</v>
      </c>
      <c r="R295" s="16" t="s">
        <v>140</v>
      </c>
      <c r="S295" s="16" t="s">
        <v>140</v>
      </c>
      <c r="T295" s="16" t="s">
        <v>11</v>
      </c>
      <c r="U295" s="16" t="s">
        <v>140</v>
      </c>
      <c r="V295" s="16" t="s">
        <v>140</v>
      </c>
      <c r="W295" s="16" t="s">
        <v>140</v>
      </c>
      <c r="X295" s="16" t="s">
        <v>140</v>
      </c>
      <c r="Y295" s="16" t="s">
        <v>140</v>
      </c>
      <c r="Z295" s="16" t="s">
        <v>11</v>
      </c>
      <c r="AA295" s="16" t="s">
        <v>140</v>
      </c>
      <c r="AB295" s="16" t="s">
        <v>140</v>
      </c>
      <c r="AC295" s="16" t="s">
        <v>140</v>
      </c>
      <c r="AD295" s="16" t="s">
        <v>140</v>
      </c>
      <c r="AE295" s="16" t="s">
        <v>140</v>
      </c>
      <c r="AF295" s="16" t="s">
        <v>11</v>
      </c>
      <c r="AG295" s="16" t="s">
        <v>140</v>
      </c>
      <c r="AH295" s="16" t="s">
        <v>140</v>
      </c>
      <c r="AI295" s="16" t="s">
        <v>140</v>
      </c>
      <c r="AJ295" s="16" t="s">
        <v>140</v>
      </c>
      <c r="AK295" s="16" t="s">
        <v>140</v>
      </c>
      <c r="AL295" s="9"/>
    </row>
    <row r="296" spans="1:38" s="8" customFormat="1" ht="12.75">
      <c r="A296" s="16"/>
      <c r="B296" s="16"/>
      <c r="C296" s="16"/>
      <c r="D296" s="16"/>
      <c r="E296" s="16"/>
      <c r="F296" s="16"/>
      <c r="M296" s="23" t="s">
        <v>104</v>
      </c>
      <c r="N296" s="23" t="s">
        <v>139</v>
      </c>
      <c r="O296" s="23" t="s">
        <v>106</v>
      </c>
      <c r="P296" s="23" t="s">
        <v>107</v>
      </c>
      <c r="Q296" s="8" t="s">
        <v>114</v>
      </c>
      <c r="R296" s="8" t="s">
        <v>104</v>
      </c>
      <c r="S296" s="8" t="s">
        <v>118</v>
      </c>
      <c r="T296" s="8" t="s">
        <v>121</v>
      </c>
      <c r="U296" s="8" t="s">
        <v>125</v>
      </c>
      <c r="V296" s="8" t="s">
        <v>126</v>
      </c>
      <c r="W296" s="8" t="s">
        <v>104</v>
      </c>
      <c r="X296" s="8" t="s">
        <v>139</v>
      </c>
      <c r="Y296" s="8" t="s">
        <v>67</v>
      </c>
      <c r="Z296" s="8" t="s">
        <v>68</v>
      </c>
      <c r="AA296" s="8" t="s">
        <v>69</v>
      </c>
      <c r="AB296" s="8" t="s">
        <v>74</v>
      </c>
      <c r="AC296" s="8" t="s">
        <v>73</v>
      </c>
      <c r="AD296" s="8" t="s">
        <v>70</v>
      </c>
      <c r="AE296" s="24" t="s">
        <v>75</v>
      </c>
      <c r="AF296" s="8" t="s">
        <v>71</v>
      </c>
      <c r="AG296" s="8" t="s">
        <v>72</v>
      </c>
      <c r="AH296" s="25" t="s">
        <v>76</v>
      </c>
      <c r="AI296" s="25" t="s">
        <v>77</v>
      </c>
      <c r="AJ296" s="24" t="s">
        <v>78</v>
      </c>
      <c r="AK296" s="24" t="s">
        <v>79</v>
      </c>
      <c r="AL296" s="9"/>
    </row>
    <row r="297" spans="1:38" s="8" customFormat="1" ht="12.75">
      <c r="A297" s="16" t="s">
        <v>11</v>
      </c>
      <c r="B297" s="26">
        <v>26</v>
      </c>
      <c r="C297" s="27">
        <v>1.4</v>
      </c>
      <c r="D297" s="18" t="s">
        <v>165</v>
      </c>
      <c r="E297" s="11">
        <f>TRUNC(W300)</f>
        <v>207</v>
      </c>
      <c r="F297" s="12">
        <f>ABS(W300-E297)*60</f>
        <v>45.15368342475824</v>
      </c>
      <c r="M297" s="23">
        <v>10</v>
      </c>
      <c r="N297" s="23">
        <v>11</v>
      </c>
      <c r="O297" s="23">
        <v>-0.2494</v>
      </c>
      <c r="P297" s="23">
        <v>0.00491</v>
      </c>
      <c r="Q297" s="8">
        <f>COS(P300)*SIN(O300+$B$381)</f>
        <v>0.45681402984349195</v>
      </c>
      <c r="R297" s="8">
        <f>DEGREES(ATAN2(Q298,Q297))+$C$381</f>
        <v>152.2391965815763</v>
      </c>
      <c r="S297" s="8">
        <f>RADIANS(R298)</f>
        <v>2.6570752309394026</v>
      </c>
      <c r="T297" s="8">
        <f>(COS($D$373)+SIN($D$373)*SIN(S297)*TAN(S300))*$A$370-COS(S297)*TAN(S300)*$A$373</f>
        <v>8.095763934244406E-05</v>
      </c>
      <c r="U297" s="8">
        <f>COS(S297)*COS($D$394)*COS($D$373)+SIN(S297)*SIN($D$394)</f>
        <v>0.6379924069718762</v>
      </c>
      <c r="V297" s="8">
        <f>COS($D$394)*COS($D$373)*(TAN($D$373)*COS(S300)-SIN(S297)*SIN(S300))+COS(S297)*SIN(S300)*SIN($D$394)</f>
        <v>-0.24624548093886195</v>
      </c>
      <c r="W297" s="8">
        <f>DEGREES(U300+T297+S297)</f>
        <v>152.24743860958736</v>
      </c>
      <c r="X297" s="8">
        <f>DEGREES(V300+T300+S300)</f>
        <v>11.909987442821375</v>
      </c>
      <c r="Y297" s="28">
        <f>V300+T300+S300</f>
        <v>0.20786849474841287</v>
      </c>
      <c r="Z297" s="8">
        <f>RADIANS(A299)</f>
        <v>2.24359897667691</v>
      </c>
      <c r="AA297" s="8">
        <f>Z297+$K$2</f>
        <v>0.14920387428371473</v>
      </c>
      <c r="AB297" s="8">
        <f>DEGREES(AA297)</f>
        <v>8.548752283457373</v>
      </c>
      <c r="AC297" s="8">
        <f>AB297-INT(AB297/360)*360</f>
        <v>8.548752283457373</v>
      </c>
      <c r="AD297" s="28">
        <f>SIN(Y297)*SIN($J$2)+COS(Y297)*COS($J$2)*COS(AA297)</f>
        <v>0.7347804793603849</v>
      </c>
      <c r="AE297" s="28">
        <f>ASIN(AD297)</f>
        <v>0.8253429930541077</v>
      </c>
      <c r="AF297" s="28">
        <f>(SIN(Y297)-SIN($J$2)*AD297)/(COS($J$2)*COS(AE297))</f>
        <v>0.9767387251106696</v>
      </c>
      <c r="AG297" s="8">
        <f>DEGREES(ACOS(AF297))</f>
        <v>12.382258146325988</v>
      </c>
      <c r="AH297" s="8">
        <f>IF(AC297&gt;180,AG297,360-AG297)</f>
        <v>347.61774185367403</v>
      </c>
      <c r="AI297" s="8">
        <f>DEGREES(AE297)</f>
        <v>47.288670152695595</v>
      </c>
      <c r="AJ297" s="28">
        <f>$C$5-AI297</f>
        <v>19.567996513971075</v>
      </c>
      <c r="AK297" s="29">
        <f>$D$5-AH297</f>
        <v>-119.71774185367403</v>
      </c>
      <c r="AL297" s="9">
        <f>AJ297*AJ297+AK297*AK297</f>
        <v>14715.24420211372</v>
      </c>
    </row>
    <row r="298" spans="1:38" s="8" customFormat="1" ht="12.75">
      <c r="A298" s="16" t="s">
        <v>137</v>
      </c>
      <c r="B298" s="16" t="s">
        <v>138</v>
      </c>
      <c r="C298" s="16" t="s">
        <v>135</v>
      </c>
      <c r="D298" s="16" t="s">
        <v>139</v>
      </c>
      <c r="E298" s="16" t="s">
        <v>138</v>
      </c>
      <c r="F298" s="16" t="s">
        <v>135</v>
      </c>
      <c r="M298" s="23">
        <v>8</v>
      </c>
      <c r="N298" s="23">
        <v>58</v>
      </c>
      <c r="O298" s="8" t="s">
        <v>110</v>
      </c>
      <c r="P298" s="8" t="s">
        <v>111</v>
      </c>
      <c r="Q298" s="8">
        <f>COS($F$381)*COS(P300)*COS(O300+$B$381)-SIN($F$381)*SIN(P300)</f>
        <v>-0.8652795704695367</v>
      </c>
      <c r="R298" s="8">
        <f>R297-360*INT(R297/360)</f>
        <v>152.2391965815763</v>
      </c>
      <c r="U298" s="8">
        <f>COS(S297)*COS($D$389)*COS($D$373)+SIN(S297)*SIN($D$389)</f>
        <v>-0.608658059518165</v>
      </c>
      <c r="V298" s="8">
        <f>COS($D$389)*COS($D$373)*(TAN($D$373)*COS(S300)-SIN(S297)*SIN(S300))+COS(S297)*SIN(S300)*SIN($D$389)</f>
        <v>0.23545792326629647</v>
      </c>
      <c r="AL298" s="9"/>
    </row>
    <row r="299" spans="1:38" s="8" customFormat="1" ht="12.75">
      <c r="A299" s="10">
        <f>($C$376+E297+F297/60)-INT(($C$376+E297+F297/60)/360)*360</f>
        <v>128.54875228345736</v>
      </c>
      <c r="B299" s="11">
        <f>TRUNC(A299)</f>
        <v>128</v>
      </c>
      <c r="C299" s="12">
        <f>(A299-B299)*60</f>
        <v>32.92513700744166</v>
      </c>
      <c r="D299" s="32" t="str">
        <f>IF(X297&gt;=0,"N","S")</f>
        <v>N</v>
      </c>
      <c r="E299" s="11">
        <f>ABS(TRUNC(X297))</f>
        <v>11</v>
      </c>
      <c r="F299" s="12">
        <f>ABS(X297-TRUNC(X297))*60</f>
        <v>54.59924656928251</v>
      </c>
      <c r="M299" s="30">
        <v>22.311</v>
      </c>
      <c r="N299" s="30">
        <v>1.94</v>
      </c>
      <c r="O299" s="31">
        <f>M300+O297/3600*$A$367</f>
        <v>152.09220039687895</v>
      </c>
      <c r="P299" s="31">
        <f>N300+P297/3600*$A$367</f>
        <v>11.967220559269766</v>
      </c>
      <c r="Q299" s="31">
        <f>SIN($F$381)*COS(P300)*COS(O300+$B$381)+COS($F$381)*SIN(P300)</f>
        <v>0.20642724400185924</v>
      </c>
      <c r="R299" s="31" t="s">
        <v>139</v>
      </c>
      <c r="S299" s="20" t="s">
        <v>119</v>
      </c>
      <c r="T299" s="20" t="s">
        <v>122</v>
      </c>
      <c r="U299" s="20" t="s">
        <v>121</v>
      </c>
      <c r="V299" s="20" t="s">
        <v>122</v>
      </c>
      <c r="W299" s="20" t="s">
        <v>130</v>
      </c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9"/>
    </row>
    <row r="300" spans="1:38" s="8" customFormat="1" ht="12.75">
      <c r="A300" s="16"/>
      <c r="B300" s="16"/>
      <c r="C300" s="16"/>
      <c r="D300" s="16"/>
      <c r="E300" s="16"/>
      <c r="F300" s="16"/>
      <c r="M300" s="24">
        <f>(M297+M298/60+M299/3600)*15</f>
        <v>152.0929625</v>
      </c>
      <c r="N300" s="24">
        <f>N297+N298/60+N299/3600</f>
        <v>11.967205555555555</v>
      </c>
      <c r="O300" s="8">
        <f>RADIANS(O299)</f>
        <v>2.654509663528564</v>
      </c>
      <c r="P300" s="8">
        <f>RADIANS(P299)</f>
        <v>0.2088674010716146</v>
      </c>
      <c r="R300" s="8">
        <f>DEGREES(ASIN(Q299))</f>
        <v>11.913061324888725</v>
      </c>
      <c r="S300" s="8">
        <f>RADIANS(R300)</f>
        <v>0.20792214411130613</v>
      </c>
      <c r="T300" s="8">
        <f>SIN($D$373)*COS(S297)*$A$370+SIN(S297)*$A$373</f>
        <v>-2.9844349276365897E-05</v>
      </c>
      <c r="U300" s="22">
        <f>($A$394*U297-U298)*$V$18/COS(S300)</f>
        <v>6.289288649206356E-05</v>
      </c>
      <c r="V300" s="22">
        <f>($A$394*V297-V298)*$V$18</f>
        <v>-2.3805013616884323E-05</v>
      </c>
      <c r="W300" s="8">
        <f>360-W297</f>
        <v>207.75256139041264</v>
      </c>
      <c r="AL300" s="9"/>
    </row>
    <row r="301" spans="1:38" s="8" customFormat="1" ht="12.75">
      <c r="A301" s="16" t="s">
        <v>140</v>
      </c>
      <c r="B301" s="16" t="s">
        <v>140</v>
      </c>
      <c r="C301" s="16" t="s">
        <v>140</v>
      </c>
      <c r="D301" s="16" t="s">
        <v>140</v>
      </c>
      <c r="E301" s="16" t="s">
        <v>140</v>
      </c>
      <c r="F301" s="16" t="s">
        <v>140</v>
      </c>
      <c r="M301" s="16" t="s">
        <v>140</v>
      </c>
      <c r="N301" s="16" t="s">
        <v>12</v>
      </c>
      <c r="O301" s="16" t="s">
        <v>140</v>
      </c>
      <c r="P301" s="16" t="s">
        <v>140</v>
      </c>
      <c r="Q301" s="16" t="s">
        <v>140</v>
      </c>
      <c r="R301" s="16" t="s">
        <v>140</v>
      </c>
      <c r="S301" s="16" t="s">
        <v>140</v>
      </c>
      <c r="T301" s="16" t="s">
        <v>12</v>
      </c>
      <c r="U301" s="16" t="s">
        <v>140</v>
      </c>
      <c r="V301" s="16" t="s">
        <v>140</v>
      </c>
      <c r="W301" s="16" t="s">
        <v>140</v>
      </c>
      <c r="X301" s="16" t="s">
        <v>140</v>
      </c>
      <c r="Y301" s="16" t="s">
        <v>140</v>
      </c>
      <c r="Z301" s="16" t="s">
        <v>12</v>
      </c>
      <c r="AA301" s="16" t="s">
        <v>140</v>
      </c>
      <c r="AB301" s="16" t="s">
        <v>140</v>
      </c>
      <c r="AC301" s="16" t="s">
        <v>140</v>
      </c>
      <c r="AD301" s="16" t="s">
        <v>140</v>
      </c>
      <c r="AE301" s="16" t="s">
        <v>140</v>
      </c>
      <c r="AF301" s="16" t="s">
        <v>12</v>
      </c>
      <c r="AG301" s="16" t="s">
        <v>140</v>
      </c>
      <c r="AH301" s="16" t="s">
        <v>140</v>
      </c>
      <c r="AI301" s="16" t="s">
        <v>140</v>
      </c>
      <c r="AJ301" s="16" t="s">
        <v>140</v>
      </c>
      <c r="AK301" s="16" t="s">
        <v>140</v>
      </c>
      <c r="AL301" s="9"/>
    </row>
    <row r="302" spans="1:38" s="8" customFormat="1" ht="12.75">
      <c r="A302" s="16"/>
      <c r="B302" s="16"/>
      <c r="C302" s="16"/>
      <c r="D302" s="16"/>
      <c r="E302" s="16"/>
      <c r="F302" s="16"/>
      <c r="M302" s="23" t="s">
        <v>104</v>
      </c>
      <c r="N302" s="23" t="s">
        <v>139</v>
      </c>
      <c r="O302" s="23" t="s">
        <v>106</v>
      </c>
      <c r="P302" s="23" t="s">
        <v>107</v>
      </c>
      <c r="Q302" s="8" t="s">
        <v>114</v>
      </c>
      <c r="R302" s="8" t="s">
        <v>104</v>
      </c>
      <c r="S302" s="8" t="s">
        <v>118</v>
      </c>
      <c r="T302" s="8" t="s">
        <v>121</v>
      </c>
      <c r="U302" s="8" t="s">
        <v>125</v>
      </c>
      <c r="V302" s="8" t="s">
        <v>126</v>
      </c>
      <c r="W302" s="8" t="s">
        <v>104</v>
      </c>
      <c r="X302" s="8" t="s">
        <v>139</v>
      </c>
      <c r="Y302" s="8" t="s">
        <v>67</v>
      </c>
      <c r="Z302" s="8" t="s">
        <v>68</v>
      </c>
      <c r="AA302" s="8" t="s">
        <v>69</v>
      </c>
      <c r="AB302" s="8" t="s">
        <v>74</v>
      </c>
      <c r="AC302" s="8" t="s">
        <v>73</v>
      </c>
      <c r="AD302" s="8" t="s">
        <v>70</v>
      </c>
      <c r="AE302" s="24" t="s">
        <v>75</v>
      </c>
      <c r="AF302" s="8" t="s">
        <v>71</v>
      </c>
      <c r="AG302" s="8" t="s">
        <v>72</v>
      </c>
      <c r="AH302" s="25" t="s">
        <v>76</v>
      </c>
      <c r="AI302" s="25" t="s">
        <v>77</v>
      </c>
      <c r="AJ302" s="24" t="s">
        <v>78</v>
      </c>
      <c r="AK302" s="24" t="s">
        <v>79</v>
      </c>
      <c r="AL302" s="9"/>
    </row>
    <row r="303" spans="1:38" s="8" customFormat="1" ht="12.75">
      <c r="A303" s="16" t="s">
        <v>12</v>
      </c>
      <c r="B303" s="26">
        <v>11</v>
      </c>
      <c r="C303" s="27">
        <v>0.1</v>
      </c>
      <c r="D303" s="18" t="s">
        <v>165</v>
      </c>
      <c r="E303" s="11">
        <f>TRUNC(W306)</f>
        <v>281</v>
      </c>
      <c r="F303" s="12">
        <f>ABS(W306-E303)*60</f>
        <v>13.416655652266627</v>
      </c>
      <c r="M303" s="23">
        <v>5</v>
      </c>
      <c r="N303" s="23">
        <v>-8</v>
      </c>
      <c r="O303" s="23">
        <v>0.00187</v>
      </c>
      <c r="P303" s="23">
        <v>-0.00056</v>
      </c>
      <c r="Q303" s="8">
        <f>COS(P306)*SIN(O306+$B$381)</f>
        <v>0.9706018054788271</v>
      </c>
      <c r="R303" s="8">
        <f>DEGREES(ATAN2(Q304,Q303))+$C$381</f>
        <v>78.76677159585284</v>
      </c>
      <c r="S303" s="8">
        <f>RADIANS(R304)</f>
        <v>1.3747395055139804</v>
      </c>
      <c r="T303" s="8">
        <f>(COS($D$373)+SIN($D$373)*SIN(S303)*TAN(S306))*$A$370-COS(S303)*TAN(S306)*$A$373</f>
        <v>7.291249730112101E-05</v>
      </c>
      <c r="U303" s="8">
        <f>COS(S303)*COS($D$394)*COS($D$373)+SIN(S303)*SIN($D$394)</f>
        <v>0.9146239051678745</v>
      </c>
      <c r="V303" s="8">
        <f>COS($D$394)*COS($D$373)*(TAN($D$373)*COS(S306)-SIN(S303)*SIN(S306))+COS(S303)*SIN(S306)*SIN($D$394)</f>
        <v>-0.1455470324429405</v>
      </c>
      <c r="W303" s="8">
        <f>DEGREES(U306+T303+S303)</f>
        <v>78.77638907246221</v>
      </c>
      <c r="X303" s="8">
        <f>DEGREES(V306+T306+S306)</f>
        <v>-8.189995028890626</v>
      </c>
      <c r="Y303" s="28">
        <f>V306+T306+S306</f>
        <v>-0.14294237897610954</v>
      </c>
      <c r="Z303" s="8">
        <f>RADIANS(A305)</f>
        <v>3.525910695995598</v>
      </c>
      <c r="AA303" s="8">
        <f>Z303+$K$2</f>
        <v>1.4315155936024029</v>
      </c>
      <c r="AB303" s="8">
        <f>DEGREES(AA303)</f>
        <v>82.01980182058243</v>
      </c>
      <c r="AC303" s="8">
        <f>AB303-INT(AB303/360)*360</f>
        <v>82.01980182058243</v>
      </c>
      <c r="AD303" s="28">
        <f>SIN(Y303)*SIN($J$2)+COS(Y303)*COS($J$2)*COS(AA303)</f>
        <v>0.19023286894290758</v>
      </c>
      <c r="AE303" s="28">
        <f>ASIN(AD303)</f>
        <v>0.19139934154392235</v>
      </c>
      <c r="AF303" s="28">
        <f>(SIN(Y303)-SIN($J$2)*AD303)/(COS($J$2)*COS(AE303))</f>
        <v>-0.05567990492840259</v>
      </c>
      <c r="AG303" s="8">
        <f>DEGREES(ACOS(AF303))</f>
        <v>93.19187427612772</v>
      </c>
      <c r="AH303" s="8">
        <f>IF(AC303&gt;180,AG303,360-AG303)</f>
        <v>266.8081257238723</v>
      </c>
      <c r="AI303" s="8">
        <f>DEGREES(AE303)</f>
        <v>10.966374472049713</v>
      </c>
      <c r="AJ303" s="28">
        <f>$C$5-AI303</f>
        <v>55.890292194616954</v>
      </c>
      <c r="AK303" s="29">
        <f>$D$5-AH303</f>
        <v>-38.9081257238723</v>
      </c>
      <c r="AL303" s="9">
        <f>AJ303*AJ303+AK303*AK303</f>
        <v>4637.567008944314</v>
      </c>
    </row>
    <row r="304" spans="1:38" s="8" customFormat="1" ht="12.75">
      <c r="A304" s="16" t="s">
        <v>137</v>
      </c>
      <c r="B304" s="16" t="s">
        <v>138</v>
      </c>
      <c r="C304" s="16" t="s">
        <v>135</v>
      </c>
      <c r="D304" s="16" t="s">
        <v>139</v>
      </c>
      <c r="E304" s="16" t="s">
        <v>138</v>
      </c>
      <c r="F304" s="16" t="s">
        <v>135</v>
      </c>
      <c r="M304" s="23">
        <v>14</v>
      </c>
      <c r="N304" s="23">
        <v>-12</v>
      </c>
      <c r="O304" s="8" t="s">
        <v>110</v>
      </c>
      <c r="P304" s="8" t="s">
        <v>111</v>
      </c>
      <c r="Q304" s="8">
        <f>COS($F$381)*COS(P306)*COS(O306+$B$381)-SIN($F$381)*SIN(P306)</f>
        <v>0.19401063609691763</v>
      </c>
      <c r="R304" s="8">
        <f>R303-360*INT(R303/360)</f>
        <v>78.76677159585284</v>
      </c>
      <c r="U304" s="8">
        <f>COS(S303)*COS($D$389)*COS($D$373)+SIN(S303)*SIN($D$389)</f>
        <v>-0.9304858571318723</v>
      </c>
      <c r="V304" s="8">
        <f>COS($D$389)*COS($D$373)*(TAN($D$373)*COS(S306)-SIN(S303)*SIN(S306))+COS(S303)*SIN(S306)*SIN($D$389)</f>
        <v>0.12433246388135996</v>
      </c>
      <c r="AL304" s="9"/>
    </row>
    <row r="305" spans="1:38" s="8" customFormat="1" ht="12.75">
      <c r="A305" s="10">
        <f>($C$376+E303+F303/60)-INT(($C$376+E303+F303/60)/360)*360</f>
        <v>202.01980182058242</v>
      </c>
      <c r="B305" s="11">
        <f>TRUNC(A305)</f>
        <v>202</v>
      </c>
      <c r="C305" s="12">
        <f>(A305-B305)*60</f>
        <v>1.1881092349449318</v>
      </c>
      <c r="D305" s="32" t="str">
        <f>IF(X303&gt;=0,"N","S")</f>
        <v>S</v>
      </c>
      <c r="E305" s="11">
        <f>ABS(TRUNC(X303))</f>
        <v>8</v>
      </c>
      <c r="F305" s="12">
        <f>ABS(X303-TRUNC(X303))*60</f>
        <v>11.399701733437588</v>
      </c>
      <c r="M305" s="30">
        <v>32.272</v>
      </c>
      <c r="N305" s="30">
        <v>-5.91</v>
      </c>
      <c r="O305" s="31">
        <f>M306+O303/3600*$A$367</f>
        <v>78.6344723809122</v>
      </c>
      <c r="P305" s="31">
        <f>N306+P303/3600*$A$367</f>
        <v>-8.20164337788458</v>
      </c>
      <c r="Q305" s="31">
        <f>SIN($F$381)*COS(P306)*COS(O306+$B$381)+COS($F$381)*SIN(P306)</f>
        <v>-0.14245002029663054</v>
      </c>
      <c r="R305" s="31" t="s">
        <v>139</v>
      </c>
      <c r="S305" s="20" t="s">
        <v>119</v>
      </c>
      <c r="T305" s="20" t="s">
        <v>122</v>
      </c>
      <c r="U305" s="20" t="s">
        <v>121</v>
      </c>
      <c r="V305" s="20" t="s">
        <v>122</v>
      </c>
      <c r="W305" s="20" t="s">
        <v>130</v>
      </c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9"/>
    </row>
    <row r="306" spans="1:38" s="8" customFormat="1" ht="12.75">
      <c r="A306" s="16"/>
      <c r="B306" s="16"/>
      <c r="C306" s="16"/>
      <c r="D306" s="16"/>
      <c r="E306" s="16"/>
      <c r="F306" s="16"/>
      <c r="M306" s="24">
        <f>(M303+M304/60+M305/3600)*15</f>
        <v>78.63446666666667</v>
      </c>
      <c r="N306" s="24">
        <f>N303+N304/60+N305/3600</f>
        <v>-8.201641666666665</v>
      </c>
      <c r="O306" s="8">
        <f>RADIANS(O305)</f>
        <v>1.3724304486154626</v>
      </c>
      <c r="P306" s="8">
        <f>RADIANS(P305)</f>
        <v>-0.14314568101847538</v>
      </c>
      <c r="R306" s="8">
        <f>DEGREES(ASIN(Q305))</f>
        <v>-8.189643265359454</v>
      </c>
      <c r="S306" s="8">
        <f>RADIANS(R306)</f>
        <v>-0.14293623954430215</v>
      </c>
      <c r="T306" s="8">
        <f>SIN($D$373)*COS(S303)*$A$370+SIN(S303)*$A$373</f>
        <v>6.456452294930373E-06</v>
      </c>
      <c r="U306" s="22">
        <f>($A$394*U303-U304)*$V$18/COS(S306)</f>
        <v>9.494413526593745E-05</v>
      </c>
      <c r="V306" s="22">
        <f>($A$394*V303-V304)*$V$18</f>
        <v>-1.259588410231143E-05</v>
      </c>
      <c r="W306" s="8">
        <f>360-W303</f>
        <v>281.2236109275378</v>
      </c>
      <c r="AL306" s="9"/>
    </row>
    <row r="307" spans="1:38" s="8" customFormat="1" ht="12.75">
      <c r="A307" s="16" t="s">
        <v>140</v>
      </c>
      <c r="B307" s="16" t="s">
        <v>140</v>
      </c>
      <c r="C307" s="16" t="s">
        <v>140</v>
      </c>
      <c r="D307" s="16" t="s">
        <v>140</v>
      </c>
      <c r="E307" s="16" t="s">
        <v>140</v>
      </c>
      <c r="F307" s="16" t="s">
        <v>140</v>
      </c>
      <c r="M307" s="16" t="s">
        <v>140</v>
      </c>
      <c r="N307" s="16" t="s">
        <v>13</v>
      </c>
      <c r="O307" s="16" t="s">
        <v>140</v>
      </c>
      <c r="P307" s="16" t="s">
        <v>140</v>
      </c>
      <c r="Q307" s="16" t="s">
        <v>140</v>
      </c>
      <c r="R307" s="16" t="s">
        <v>140</v>
      </c>
      <c r="S307" s="16" t="s">
        <v>140</v>
      </c>
      <c r="T307" s="16" t="s">
        <v>13</v>
      </c>
      <c r="U307" s="16" t="s">
        <v>140</v>
      </c>
      <c r="V307" s="16" t="s">
        <v>140</v>
      </c>
      <c r="W307" s="16" t="s">
        <v>140</v>
      </c>
      <c r="X307" s="16" t="s">
        <v>140</v>
      </c>
      <c r="Y307" s="16" t="s">
        <v>140</v>
      </c>
      <c r="Z307" s="16" t="s">
        <v>13</v>
      </c>
      <c r="AA307" s="16" t="s">
        <v>140</v>
      </c>
      <c r="AB307" s="16" t="s">
        <v>140</v>
      </c>
      <c r="AC307" s="16" t="s">
        <v>140</v>
      </c>
      <c r="AD307" s="16" t="s">
        <v>140</v>
      </c>
      <c r="AE307" s="16" t="s">
        <v>140</v>
      </c>
      <c r="AF307" s="16" t="s">
        <v>13</v>
      </c>
      <c r="AG307" s="16" t="s">
        <v>140</v>
      </c>
      <c r="AH307" s="16" t="s">
        <v>140</v>
      </c>
      <c r="AI307" s="16" t="s">
        <v>140</v>
      </c>
      <c r="AJ307" s="16" t="s">
        <v>140</v>
      </c>
      <c r="AK307" s="16" t="s">
        <v>140</v>
      </c>
      <c r="AL307" s="9"/>
    </row>
    <row r="308" spans="1:38" s="8" customFormat="1" ht="12.75">
      <c r="A308" s="16"/>
      <c r="B308" s="16"/>
      <c r="C308" s="16"/>
      <c r="D308" s="16"/>
      <c r="E308" s="16"/>
      <c r="F308" s="16"/>
      <c r="M308" s="23" t="s">
        <v>104</v>
      </c>
      <c r="N308" s="23" t="s">
        <v>139</v>
      </c>
      <c r="O308" s="23" t="s">
        <v>106</v>
      </c>
      <c r="P308" s="23" t="s">
        <v>107</v>
      </c>
      <c r="Q308" s="8" t="s">
        <v>114</v>
      </c>
      <c r="R308" s="8" t="s">
        <v>104</v>
      </c>
      <c r="S308" s="8" t="s">
        <v>118</v>
      </c>
      <c r="T308" s="8" t="s">
        <v>121</v>
      </c>
      <c r="U308" s="8" t="s">
        <v>125</v>
      </c>
      <c r="V308" s="8" t="s">
        <v>126</v>
      </c>
      <c r="W308" s="8" t="s">
        <v>104</v>
      </c>
      <c r="X308" s="8" t="s">
        <v>139</v>
      </c>
      <c r="Y308" s="8" t="s">
        <v>67</v>
      </c>
      <c r="Z308" s="8" t="s">
        <v>68</v>
      </c>
      <c r="AA308" s="8" t="s">
        <v>69</v>
      </c>
      <c r="AB308" s="8" t="s">
        <v>74</v>
      </c>
      <c r="AC308" s="8" t="s">
        <v>73</v>
      </c>
      <c r="AD308" s="8" t="s">
        <v>70</v>
      </c>
      <c r="AE308" s="24" t="s">
        <v>75</v>
      </c>
      <c r="AF308" s="8" t="s">
        <v>71</v>
      </c>
      <c r="AG308" s="8" t="s">
        <v>72</v>
      </c>
      <c r="AH308" s="25" t="s">
        <v>76</v>
      </c>
      <c r="AI308" s="25" t="s">
        <v>77</v>
      </c>
      <c r="AJ308" s="24" t="s">
        <v>78</v>
      </c>
      <c r="AK308" s="24" t="s">
        <v>79</v>
      </c>
      <c r="AL308" s="9"/>
    </row>
    <row r="309" spans="1:38" s="8" customFormat="1" ht="12.75">
      <c r="A309" s="16" t="s">
        <v>13</v>
      </c>
      <c r="B309" s="26">
        <v>38</v>
      </c>
      <c r="C309" s="27">
        <v>-0.3</v>
      </c>
      <c r="D309" s="18" t="s">
        <v>165</v>
      </c>
      <c r="E309" s="11">
        <f>TRUNC(W312)</f>
        <v>139</v>
      </c>
      <c r="F309" s="12">
        <f>ABS(W312-E309)*60</f>
        <v>54.77443301058145</v>
      </c>
      <c r="M309" s="23">
        <v>14</v>
      </c>
      <c r="N309" s="23">
        <v>-60</v>
      </c>
      <c r="O309" s="23">
        <v>-3.608</v>
      </c>
      <c r="P309" s="23">
        <v>0.686</v>
      </c>
      <c r="Q309" s="8">
        <f>COS(P312)*SIN(O312+$B$381)</f>
        <v>-0.3130030271450917</v>
      </c>
      <c r="R309" s="8">
        <f>DEGREES(ATAN2(Q310,Q309))+$C$381</f>
        <v>-139.8986276034046</v>
      </c>
      <c r="S309" s="8">
        <f>RADIANS(R310)</f>
        <v>3.841493636478752</v>
      </c>
      <c r="T309" s="8">
        <f>(COS($D$373)+SIN($D$373)*SIN(S309)*TAN(S312))*$A$370-COS(S309)*TAN(S312)*$A$373</f>
        <v>0.00011674844927017483</v>
      </c>
      <c r="U309" s="8">
        <f>COS(S309)*COS($D$394)*COS($D$373)+SIN(S309)*SIN($D$394)</f>
        <v>-0.4679321629942046</v>
      </c>
      <c r="V309" s="8">
        <f>COS($D$394)*COS($D$373)*(TAN($D$373)*COS(S312)-SIN(S309)*SIN(S312))+COS(S309)*SIN(S312)*SIN($D$394)</f>
        <v>0.7240605405414888</v>
      </c>
      <c r="W309" s="8">
        <f>DEGREES(U312+T309+S309)</f>
        <v>220.10209278315696</v>
      </c>
      <c r="X309" s="8">
        <f>DEGREES(V312+T312+S312)</f>
        <v>-60.87776602045564</v>
      </c>
      <c r="Y309" s="28">
        <f>V312+T312+S312</f>
        <v>-1.0625174583156765</v>
      </c>
      <c r="Z309" s="8">
        <f>RADIANS(A311)</f>
        <v>1.0595736479338065</v>
      </c>
      <c r="AA309" s="8">
        <f>Z309+$K$2</f>
        <v>-1.0348214544593888</v>
      </c>
      <c r="AB309" s="8">
        <f>DEGREES(AA309)</f>
        <v>-59.2909018901123</v>
      </c>
      <c r="AC309" s="8">
        <f>AB309-INT(AB309/360)*360</f>
        <v>300.7090981098877</v>
      </c>
      <c r="AD309" s="28">
        <f>SIN(Y309)*SIN($J$2)+COS(Y309)*COS($J$2)*COS(AA309)</f>
        <v>0.6520290130644418</v>
      </c>
      <c r="AE309" s="28">
        <f>ASIN(AD309)</f>
        <v>0.7102574808391021</v>
      </c>
      <c r="AF309" s="28">
        <f>(SIN(Y309)-SIN($J$2)*AD309)/(COS($J$2)*COS(AE309))</f>
        <v>-0.8339265667608546</v>
      </c>
      <c r="AG309" s="8">
        <f>DEGREES(ACOS(AF309))</f>
        <v>146.5042298835736</v>
      </c>
      <c r="AH309" s="8">
        <f>IF(AC309&gt;180,AG309,360-AG309)</f>
        <v>146.5042298835736</v>
      </c>
      <c r="AI309" s="8">
        <f>DEGREES(AE309)</f>
        <v>40.694756019674486</v>
      </c>
      <c r="AJ309" s="28">
        <f>$C$5-AI309</f>
        <v>26.161910646992183</v>
      </c>
      <c r="AK309" s="29">
        <f>$D$5-AH309</f>
        <v>81.3957701164264</v>
      </c>
      <c r="AL309" s="9">
        <f>AJ309*AJ309+AK309*AK309</f>
        <v>7309.716961547337</v>
      </c>
    </row>
    <row r="310" spans="1:38" s="8" customFormat="1" ht="12.75">
      <c r="A310" s="16" t="s">
        <v>137</v>
      </c>
      <c r="B310" s="16" t="s">
        <v>138</v>
      </c>
      <c r="C310" s="16" t="s">
        <v>135</v>
      </c>
      <c r="D310" s="16" t="s">
        <v>139</v>
      </c>
      <c r="E310" s="16" t="s">
        <v>138</v>
      </c>
      <c r="F310" s="16" t="s">
        <v>135</v>
      </c>
      <c r="M310" s="23">
        <v>39</v>
      </c>
      <c r="N310" s="23">
        <v>-50</v>
      </c>
      <c r="O310" s="8" t="s">
        <v>110</v>
      </c>
      <c r="P310" s="8" t="s">
        <v>111</v>
      </c>
      <c r="Q310" s="8">
        <f>COS($F$381)*COS(P312)*COS(O312+$B$381)-SIN($F$381)*SIN(P312)</f>
        <v>-0.372614236278621</v>
      </c>
      <c r="R310" s="8">
        <f>R309-360*INT(R309/360)</f>
        <v>220.1013723965954</v>
      </c>
      <c r="U310" s="8">
        <f>COS(S309)*COS($D$389)*COS($D$373)+SIN(S309)*SIN($D$389)</f>
        <v>0.5023751110836556</v>
      </c>
      <c r="V310" s="8">
        <f>COS($D$389)*COS($D$373)*(TAN($D$373)*COS(S312)-SIN(S309)*SIN(S312))+COS(S309)*SIN(S312)*SIN($D$389)</f>
        <v>-0.7165930414682109</v>
      </c>
      <c r="AL310" s="9"/>
    </row>
    <row r="311" spans="1:38" s="8" customFormat="1" ht="12.75">
      <c r="A311" s="10">
        <f>($C$376+E309+F309/60)-INT(($C$376+E309+F309/60)/360)*360</f>
        <v>60.70909810988769</v>
      </c>
      <c r="B311" s="11">
        <f>TRUNC(A311)</f>
        <v>60</v>
      </c>
      <c r="C311" s="12">
        <f>(A311-B311)*60</f>
        <v>42.54588659326146</v>
      </c>
      <c r="D311" s="32" t="str">
        <f>IF(X309&gt;=0,"N","S")</f>
        <v>S</v>
      </c>
      <c r="E311" s="11">
        <f>ABS(TRUNC(X309))</f>
        <v>60</v>
      </c>
      <c r="F311" s="12">
        <f>ABS(X309-TRUNC(X309))*60</f>
        <v>52.6659612273383</v>
      </c>
      <c r="M311" s="30">
        <v>36.204</v>
      </c>
      <c r="N311" s="30">
        <v>-8.23</v>
      </c>
      <c r="O311" s="31">
        <f>M312+O309/3600*$A$367</f>
        <v>219.889824867439</v>
      </c>
      <c r="P311" s="31">
        <f>N312+P309/3600*$A$367</f>
        <v>-60.83352320249964</v>
      </c>
      <c r="Q311" s="31">
        <f>SIN($F$381)*COS(P312)*COS(O312+$B$381)+COS($F$381)*SIN(P312)</f>
        <v>-0.8736061675151504</v>
      </c>
      <c r="R311" s="31" t="s">
        <v>139</v>
      </c>
      <c r="S311" s="20" t="s">
        <v>119</v>
      </c>
      <c r="T311" s="20" t="s">
        <v>122</v>
      </c>
      <c r="U311" s="20" t="s">
        <v>121</v>
      </c>
      <c r="V311" s="20" t="s">
        <v>122</v>
      </c>
      <c r="W311" s="41" t="s">
        <v>201</v>
      </c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9"/>
    </row>
    <row r="312" spans="1:38" s="8" customFormat="1" ht="12.75">
      <c r="A312" s="16"/>
      <c r="B312" s="16"/>
      <c r="C312" s="16"/>
      <c r="D312" s="16"/>
      <c r="E312" s="16"/>
      <c r="F312" s="16"/>
      <c r="M312" s="24">
        <f>(M309+M310/60+M311/3600)*15</f>
        <v>219.90085000000002</v>
      </c>
      <c r="N312" s="24">
        <f>N309+N310/60+N311/3600</f>
        <v>-60.83561944444445</v>
      </c>
      <c r="O312" s="8">
        <f>RADIANS(O311)</f>
        <v>3.837801435570514</v>
      </c>
      <c r="P312" s="8">
        <f>RADIANS(P311)</f>
        <v>-1.0617452754719838</v>
      </c>
      <c r="R312" s="8">
        <f>DEGREES(ASIN(Q311))</f>
        <v>-60.88044278791312</v>
      </c>
      <c r="S312" s="8">
        <f>RADIANS(R312)</f>
        <v>-1.0625641767211198</v>
      </c>
      <c r="T312" s="8">
        <f>SIN($D$373)*COS(S309)*$A$370+SIN(S309)*$A$373</f>
        <v>-2.5687715213251745E-05</v>
      </c>
      <c r="U312" s="22">
        <f>($A$394*U309-U310)*$V$18/COS(S312)</f>
        <v>-0.0001041753318837608</v>
      </c>
      <c r="V312" s="22">
        <f>($A$394*V309-V310)*$V$18</f>
        <v>7.240612065651973E-05</v>
      </c>
      <c r="W312" s="8">
        <f>360-W309+0.015</f>
        <v>139.91290721684302</v>
      </c>
      <c r="AL312" s="9"/>
    </row>
    <row r="313" spans="1:38" s="8" customFormat="1" ht="12.75">
      <c r="A313" s="16" t="s">
        <v>140</v>
      </c>
      <c r="B313" s="16" t="s">
        <v>140</v>
      </c>
      <c r="C313" s="16" t="s">
        <v>140</v>
      </c>
      <c r="D313" s="16" t="s">
        <v>140</v>
      </c>
      <c r="E313" s="16" t="s">
        <v>140</v>
      </c>
      <c r="F313" s="16" t="s">
        <v>140</v>
      </c>
      <c r="M313" s="16" t="s">
        <v>140</v>
      </c>
      <c r="N313" s="16" t="s">
        <v>14</v>
      </c>
      <c r="O313" s="16" t="s">
        <v>140</v>
      </c>
      <c r="P313" s="16" t="s">
        <v>140</v>
      </c>
      <c r="Q313" s="16" t="s">
        <v>140</v>
      </c>
      <c r="R313" s="16" t="s">
        <v>140</v>
      </c>
      <c r="S313" s="16" t="s">
        <v>140</v>
      </c>
      <c r="T313" s="16" t="s">
        <v>14</v>
      </c>
      <c r="U313" s="16" t="s">
        <v>140</v>
      </c>
      <c r="V313" s="16" t="s">
        <v>140</v>
      </c>
      <c r="W313" s="16" t="s">
        <v>140</v>
      </c>
      <c r="X313" s="16" t="s">
        <v>140</v>
      </c>
      <c r="Y313" s="16" t="s">
        <v>140</v>
      </c>
      <c r="Z313" s="16" t="s">
        <v>14</v>
      </c>
      <c r="AA313" s="16" t="s">
        <v>140</v>
      </c>
      <c r="AB313" s="16" t="s">
        <v>140</v>
      </c>
      <c r="AC313" s="16" t="s">
        <v>140</v>
      </c>
      <c r="AD313" s="16" t="s">
        <v>140</v>
      </c>
      <c r="AE313" s="16" t="s">
        <v>140</v>
      </c>
      <c r="AF313" s="16" t="s">
        <v>14</v>
      </c>
      <c r="AG313" s="16" t="s">
        <v>140</v>
      </c>
      <c r="AH313" s="16" t="s">
        <v>140</v>
      </c>
      <c r="AI313" s="16" t="s">
        <v>140</v>
      </c>
      <c r="AJ313" s="16" t="s">
        <v>140</v>
      </c>
      <c r="AK313" s="16" t="s">
        <v>140</v>
      </c>
      <c r="AL313" s="9"/>
    </row>
    <row r="314" spans="1:38" s="8" customFormat="1" ht="12.75">
      <c r="A314" s="16"/>
      <c r="B314" s="16"/>
      <c r="C314" s="16"/>
      <c r="D314" s="16"/>
      <c r="E314" s="16"/>
      <c r="F314" s="16"/>
      <c r="M314" s="23" t="s">
        <v>104</v>
      </c>
      <c r="N314" s="23" t="s">
        <v>139</v>
      </c>
      <c r="O314" s="23" t="s">
        <v>106</v>
      </c>
      <c r="P314" s="23" t="s">
        <v>107</v>
      </c>
      <c r="Q314" s="8" t="s">
        <v>114</v>
      </c>
      <c r="R314" s="8" t="s">
        <v>104</v>
      </c>
      <c r="S314" s="8" t="s">
        <v>118</v>
      </c>
      <c r="T314" s="8" t="s">
        <v>121</v>
      </c>
      <c r="U314" s="8" t="s">
        <v>125</v>
      </c>
      <c r="V314" s="8" t="s">
        <v>126</v>
      </c>
      <c r="W314" s="8" t="s">
        <v>104</v>
      </c>
      <c r="X314" s="8" t="s">
        <v>139</v>
      </c>
      <c r="Y314" s="8" t="s">
        <v>67</v>
      </c>
      <c r="Z314" s="8" t="s">
        <v>68</v>
      </c>
      <c r="AA314" s="8" t="s">
        <v>69</v>
      </c>
      <c r="AB314" s="8" t="s">
        <v>74</v>
      </c>
      <c r="AC314" s="8" t="s">
        <v>73</v>
      </c>
      <c r="AD314" s="8" t="s">
        <v>70</v>
      </c>
      <c r="AE314" s="24" t="s">
        <v>75</v>
      </c>
      <c r="AF314" s="8" t="s">
        <v>71</v>
      </c>
      <c r="AG314" s="8" t="s">
        <v>72</v>
      </c>
      <c r="AH314" s="25" t="s">
        <v>76</v>
      </c>
      <c r="AI314" s="25" t="s">
        <v>77</v>
      </c>
      <c r="AJ314" s="24" t="s">
        <v>78</v>
      </c>
      <c r="AK314" s="24" t="s">
        <v>79</v>
      </c>
      <c r="AL314" s="9"/>
    </row>
    <row r="315" spans="1:38" s="8" customFormat="1" ht="12.75">
      <c r="A315" s="16" t="s">
        <v>14</v>
      </c>
      <c r="B315" s="26">
        <v>44</v>
      </c>
      <c r="C315" s="27">
        <v>2.4</v>
      </c>
      <c r="D315" s="18" t="s">
        <v>165</v>
      </c>
      <c r="E315" s="11">
        <f>TRUNC(W318)</f>
        <v>102</v>
      </c>
      <c r="F315" s="12">
        <f>ABS(W318-E315)*60</f>
        <v>14.886947546430065</v>
      </c>
      <c r="M315" s="23">
        <v>17</v>
      </c>
      <c r="N315" s="23">
        <v>-15</v>
      </c>
      <c r="O315" s="23">
        <v>0.04116</v>
      </c>
      <c r="P315" s="23">
        <v>0.09765</v>
      </c>
      <c r="Q315" s="8">
        <f>COS(P318)*SIN(O318+$B$381)</f>
        <v>-0.9403550709775217</v>
      </c>
      <c r="R315" s="8">
        <f>DEGREES(ATAN2(Q316,Q315))+$C$381</f>
        <v>-102.2475425062735</v>
      </c>
      <c r="S315" s="8">
        <f>RADIANS(R316)</f>
        <v>4.498629038372259</v>
      </c>
      <c r="T315" s="8">
        <f>(COS($D$373)+SIN($D$373)*SIN(S315)*TAN(S318))*$A$370-COS(S315)*TAN(S318)*$A$373</f>
        <v>8.694719287139666E-05</v>
      </c>
      <c r="U315" s="8">
        <f>COS(S315)*COS($D$394)*COS($D$373)+SIN(S315)*SIN($D$394)</f>
        <v>-0.9075044062856453</v>
      </c>
      <c r="V315" s="8">
        <f>COS($D$394)*COS($D$373)*(TAN($D$373)*COS(S318)-SIN(S315)*SIN(S318))+COS(S315)*SIN(S318)*SIN($D$394)</f>
        <v>0.024319478159115088</v>
      </c>
      <c r="W315" s="8">
        <f>DEGREES(U318+T315+S315)</f>
        <v>257.7518842075595</v>
      </c>
      <c r="X315" s="8">
        <f>DEGREES(V318+T318+S318)</f>
        <v>-15.7379145155045</v>
      </c>
      <c r="Y315" s="28">
        <f>V318+T318+S318</f>
        <v>-0.2746784256929617</v>
      </c>
      <c r="Z315" s="8">
        <f>RADIANS(A317)</f>
        <v>0.40219902550105807</v>
      </c>
      <c r="AA315" s="8">
        <f>Z315+$K$2</f>
        <v>-1.6921960768921371</v>
      </c>
      <c r="AB315" s="8">
        <f>DEGREES(AA315)</f>
        <v>-96.95569331451479</v>
      </c>
      <c r="AC315" s="8">
        <f>AB315-INT(AB315/360)*360</f>
        <v>263.0443066854852</v>
      </c>
      <c r="AD315" s="28">
        <f>SIN(Y315)*SIN($J$2)+COS(Y315)*COS($J$2)*COS(AA315)</f>
        <v>0.03467309112390861</v>
      </c>
      <c r="AE315" s="28">
        <f>ASIN(AD315)</f>
        <v>0.034680042351221525</v>
      </c>
      <c r="AF315" s="28">
        <f>(SIN(Y315)-SIN($J$2)*AD315)/(COS($J$2)*COS(AE315))</f>
        <v>-0.29335588258725304</v>
      </c>
      <c r="AG315" s="8">
        <f>DEGREES(ACOS(AF315))</f>
        <v>107.05897505113516</v>
      </c>
      <c r="AH315" s="8">
        <f>IF(AC315&gt;180,AG315,360-AG315)</f>
        <v>107.05897505113516</v>
      </c>
      <c r="AI315" s="8">
        <f>DEGREES(AE315)</f>
        <v>1.9870200600599455</v>
      </c>
      <c r="AJ315" s="28">
        <f>$C$5-AI315</f>
        <v>64.86964660660672</v>
      </c>
      <c r="AK315" s="29">
        <f>$D$5-AH315</f>
        <v>120.84102494886484</v>
      </c>
      <c r="AL315" s="9">
        <f>AJ315*AJ315+AK315*AK315</f>
        <v>18810.62436155822</v>
      </c>
    </row>
    <row r="316" spans="1:38" s="8" customFormat="1" ht="12.75">
      <c r="A316" s="16" t="s">
        <v>137</v>
      </c>
      <c r="B316" s="16" t="s">
        <v>138</v>
      </c>
      <c r="C316" s="16" t="s">
        <v>135</v>
      </c>
      <c r="D316" s="16" t="s">
        <v>139</v>
      </c>
      <c r="E316" s="16" t="s">
        <v>138</v>
      </c>
      <c r="F316" s="16" t="s">
        <v>135</v>
      </c>
      <c r="M316" s="23">
        <v>10</v>
      </c>
      <c r="N316" s="23">
        <v>-43</v>
      </c>
      <c r="O316" s="8" t="s">
        <v>110</v>
      </c>
      <c r="P316" s="8" t="s">
        <v>111</v>
      </c>
      <c r="Q316" s="8">
        <f>COS($F$381)*COS(P318)*COS(O318+$B$381)-SIN($F$381)*SIN(P318)</f>
        <v>-0.20534036521743285</v>
      </c>
      <c r="R316" s="8">
        <f>R315-360*INT(R315/360)</f>
        <v>257.7524574937265</v>
      </c>
      <c r="U316" s="8">
        <f>COS(S315)*COS($D$389)*COS($D$373)+SIN(S315)*SIN($D$389)</f>
        <v>0.9239888562209985</v>
      </c>
      <c r="V316" s="8">
        <f>COS($D$389)*COS($D$373)*(TAN($D$373)*COS(S318)-SIN(S315)*SIN(S318))+COS(S315)*SIN(S318)*SIN($D$389)</f>
        <v>-0.03056020984637344</v>
      </c>
      <c r="AL316" s="9"/>
    </row>
    <row r="317" spans="1:38" s="8" customFormat="1" ht="12.75">
      <c r="A317" s="10">
        <f>($C$376+E315+F315/60)-INT(($C$376+E315+F315/60)/360)*360</f>
        <v>23.044306685485196</v>
      </c>
      <c r="B317" s="11">
        <f>TRUNC(A317)</f>
        <v>23</v>
      </c>
      <c r="C317" s="12">
        <f>(A317-B317)*60</f>
        <v>2.6584011291117804</v>
      </c>
      <c r="D317" s="32" t="str">
        <f>IF(X315&gt;=0,"N","S")</f>
        <v>S</v>
      </c>
      <c r="E317" s="11">
        <f>ABS(TRUNC(X315))</f>
        <v>15</v>
      </c>
      <c r="F317" s="12">
        <f>ABS(X315-TRUNC(X315))*60</f>
        <v>44.27487093026997</v>
      </c>
      <c r="M317" s="30">
        <v>22.687</v>
      </c>
      <c r="N317" s="30">
        <v>-29.68</v>
      </c>
      <c r="O317" s="31">
        <f>M318+O315/3600*$A$367</f>
        <v>257.59465494118336</v>
      </c>
      <c r="P317" s="31">
        <f>N318+P315/3600*$A$367</f>
        <v>-15.724612717487336</v>
      </c>
      <c r="Q317" s="31">
        <f>SIN($F$381)*COS(P318)*COS(O318+$B$381)+COS($F$381)*SIN(P318)</f>
        <v>-0.27123361683101055</v>
      </c>
      <c r="R317" s="31" t="s">
        <v>139</v>
      </c>
      <c r="S317" s="20" t="s">
        <v>119</v>
      </c>
      <c r="T317" s="20" t="s">
        <v>122</v>
      </c>
      <c r="U317" s="20" t="s">
        <v>121</v>
      </c>
      <c r="V317" s="20" t="s">
        <v>122</v>
      </c>
      <c r="W317" s="20" t="s">
        <v>130</v>
      </c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9"/>
    </row>
    <row r="318" spans="1:38" s="8" customFormat="1" ht="12.75">
      <c r="A318" s="16"/>
      <c r="B318" s="16"/>
      <c r="C318" s="16"/>
      <c r="D318" s="16"/>
      <c r="E318" s="16"/>
      <c r="F318" s="16"/>
      <c r="M318" s="24">
        <f>(M315+M316/60+M317/3600)*15</f>
        <v>257.5945291666667</v>
      </c>
      <c r="N318" s="24">
        <f>N315+N316/60+N317/3600</f>
        <v>-15.724911111111112</v>
      </c>
      <c r="O318" s="8">
        <f>RADIANS(O317)</f>
        <v>4.49587486426233</v>
      </c>
      <c r="P318" s="8">
        <f>RADIANS(P317)</f>
        <v>-0.27444626552112694</v>
      </c>
      <c r="R318" s="8">
        <f>DEGREES(ASIN(Q317))</f>
        <v>-15.737687426433329</v>
      </c>
      <c r="S318" s="8">
        <f>RADIANS(R318)</f>
        <v>-0.27467446224097447</v>
      </c>
      <c r="T318" s="8">
        <f>SIN($D$373)*COS(S315)*$A$370+SIN(S315)*$A$373</f>
        <v>-7.040435188197775E-06</v>
      </c>
      <c r="U318" s="22">
        <f>($A$394*U315-U316)*$V$18/COS(S318)</f>
        <v>-9.695292404220295E-05</v>
      </c>
      <c r="V318" s="22">
        <f>($A$394*V315-V316)*$V$18</f>
        <v>3.0769832009755507E-06</v>
      </c>
      <c r="W318" s="8">
        <f>360-W315</f>
        <v>102.2481157924405</v>
      </c>
      <c r="AL318" s="9"/>
    </row>
    <row r="319" spans="1:38" s="8" customFormat="1" ht="12.75">
      <c r="A319" s="16" t="s">
        <v>140</v>
      </c>
      <c r="B319" s="16" t="s">
        <v>140</v>
      </c>
      <c r="C319" s="16" t="s">
        <v>140</v>
      </c>
      <c r="D319" s="16" t="s">
        <v>140</v>
      </c>
      <c r="E319" s="16" t="s">
        <v>140</v>
      </c>
      <c r="F319" s="16" t="s">
        <v>140</v>
      </c>
      <c r="M319" s="16" t="s">
        <v>140</v>
      </c>
      <c r="N319" s="16" t="s">
        <v>15</v>
      </c>
      <c r="O319" s="16" t="s">
        <v>140</v>
      </c>
      <c r="P319" s="16" t="s">
        <v>140</v>
      </c>
      <c r="Q319" s="16" t="s">
        <v>140</v>
      </c>
      <c r="R319" s="16" t="s">
        <v>140</v>
      </c>
      <c r="S319" s="16" t="s">
        <v>140</v>
      </c>
      <c r="T319" s="16" t="s">
        <v>15</v>
      </c>
      <c r="U319" s="16" t="s">
        <v>140</v>
      </c>
      <c r="V319" s="16" t="s">
        <v>140</v>
      </c>
      <c r="W319" s="16" t="s">
        <v>140</v>
      </c>
      <c r="X319" s="16" t="s">
        <v>140</v>
      </c>
      <c r="Y319" s="16" t="s">
        <v>140</v>
      </c>
      <c r="Z319" s="16" t="s">
        <v>15</v>
      </c>
      <c r="AA319" s="16" t="s">
        <v>140</v>
      </c>
      <c r="AB319" s="16" t="s">
        <v>140</v>
      </c>
      <c r="AC319" s="16" t="s">
        <v>140</v>
      </c>
      <c r="AD319" s="16" t="s">
        <v>140</v>
      </c>
      <c r="AE319" s="16" t="s">
        <v>140</v>
      </c>
      <c r="AF319" s="16" t="s">
        <v>15</v>
      </c>
      <c r="AG319" s="16" t="s">
        <v>140</v>
      </c>
      <c r="AH319" s="16" t="s">
        <v>140</v>
      </c>
      <c r="AI319" s="16" t="s">
        <v>140</v>
      </c>
      <c r="AJ319" s="16" t="s">
        <v>140</v>
      </c>
      <c r="AK319" s="16" t="s">
        <v>140</v>
      </c>
      <c r="AL319" s="9"/>
    </row>
    <row r="320" spans="1:38" s="8" customFormat="1" ht="12.75">
      <c r="A320" s="16"/>
      <c r="B320" s="16"/>
      <c r="C320" s="16"/>
      <c r="D320" s="16"/>
      <c r="E320" s="16"/>
      <c r="F320" s="16"/>
      <c r="M320" s="23" t="s">
        <v>104</v>
      </c>
      <c r="N320" s="23" t="s">
        <v>139</v>
      </c>
      <c r="O320" s="23" t="s">
        <v>106</v>
      </c>
      <c r="P320" s="23" t="s">
        <v>107</v>
      </c>
      <c r="Q320" s="8" t="s">
        <v>114</v>
      </c>
      <c r="R320" s="8" t="s">
        <v>104</v>
      </c>
      <c r="S320" s="8" t="s">
        <v>118</v>
      </c>
      <c r="T320" s="8" t="s">
        <v>121</v>
      </c>
      <c r="U320" s="8" t="s">
        <v>125</v>
      </c>
      <c r="V320" s="8" t="s">
        <v>126</v>
      </c>
      <c r="W320" s="8" t="s">
        <v>104</v>
      </c>
      <c r="X320" s="8" t="s">
        <v>139</v>
      </c>
      <c r="Y320" s="8" t="s">
        <v>67</v>
      </c>
      <c r="Z320" s="8" t="s">
        <v>68</v>
      </c>
      <c r="AA320" s="8" t="s">
        <v>69</v>
      </c>
      <c r="AB320" s="8" t="s">
        <v>74</v>
      </c>
      <c r="AC320" s="8" t="s">
        <v>73</v>
      </c>
      <c r="AD320" s="8" t="s">
        <v>70</v>
      </c>
      <c r="AE320" s="24" t="s">
        <v>75</v>
      </c>
      <c r="AF320" s="8" t="s">
        <v>71</v>
      </c>
      <c r="AG320" s="8" t="s">
        <v>72</v>
      </c>
      <c r="AH320" s="25" t="s">
        <v>76</v>
      </c>
      <c r="AI320" s="25" t="s">
        <v>77</v>
      </c>
      <c r="AJ320" s="24" t="s">
        <v>78</v>
      </c>
      <c r="AK320" s="24" t="s">
        <v>79</v>
      </c>
      <c r="AL320" s="9"/>
    </row>
    <row r="321" spans="1:38" s="8" customFormat="1" ht="12.75">
      <c r="A321" s="16" t="s">
        <v>15</v>
      </c>
      <c r="B321" s="26">
        <v>3</v>
      </c>
      <c r="C321" s="27">
        <v>2.2</v>
      </c>
      <c r="D321" s="18" t="s">
        <v>165</v>
      </c>
      <c r="E321" s="11">
        <f>TRUNC(W324)</f>
        <v>349</v>
      </c>
      <c r="F321" s="12">
        <f>ABS(W324-E321)*60</f>
        <v>42.6341390353798</v>
      </c>
      <c r="M321" s="23">
        <v>0</v>
      </c>
      <c r="N321" s="23">
        <v>56</v>
      </c>
      <c r="O321" s="23">
        <v>0.05036</v>
      </c>
      <c r="P321" s="23">
        <v>-0.03217</v>
      </c>
      <c r="Q321" s="8">
        <f>COS(P324)*SIN(O324+$B$381)</f>
        <v>0.09761962391691494</v>
      </c>
      <c r="R321" s="8">
        <f>DEGREES(ATAN2(Q322,Q321))+$C$381</f>
        <v>10.284377338045182</v>
      </c>
      <c r="S321" s="8">
        <f>RADIANS(R322)</f>
        <v>0.17949624606637832</v>
      </c>
      <c r="T321" s="8">
        <f>(COS($D$373)+SIN($D$373)*SIN(S321)*TAN(S324))*$A$370-COS(S321)*TAN(S324)*$A$373</f>
        <v>8.694077362131578E-05</v>
      </c>
      <c r="U321" s="8">
        <f>COS(S321)*COS($D$394)*COS($D$373)+SIN(S321)*SIN($D$394)</f>
        <v>-0.031147526536882186</v>
      </c>
      <c r="V321" s="8">
        <f>COS($D$394)*COS($D$373)*(TAN($D$373)*COS(S324)-SIN(S321)*SIN(S324))+COS(S321)*SIN(S324)*SIN($D$394)</f>
        <v>0.7812756935370012</v>
      </c>
      <c r="W321" s="8">
        <f>DEGREES(U324+T321+S321)</f>
        <v>10.28943101607698</v>
      </c>
      <c r="X321" s="8">
        <f>DEGREES(V324+T324+S324)</f>
        <v>56.60398767979094</v>
      </c>
      <c r="Y321" s="28">
        <f>V324+T324+S324</f>
        <v>0.9879259547706576</v>
      </c>
      <c r="Z321" s="8">
        <f>RADIANS(A323)</f>
        <v>4.721233608754776</v>
      </c>
      <c r="AA321" s="8">
        <f>Z321+$K$2</f>
        <v>2.626838506361581</v>
      </c>
      <c r="AB321" s="8">
        <f>DEGREES(AA321)</f>
        <v>150.50675987696764</v>
      </c>
      <c r="AC321" s="8">
        <f>AB321-INT(AB321/360)*360</f>
        <v>150.50675987696764</v>
      </c>
      <c r="AD321" s="28">
        <f>SIN(Y321)*SIN($J$2)+COS(Y321)*COS($J$2)*COS(AA321)</f>
        <v>-0.832351917476833</v>
      </c>
      <c r="AE321" s="28">
        <f>ASIN(AD321)</f>
        <v>-0.9833377040572396</v>
      </c>
      <c r="AF321" s="28">
        <f>(SIN(Y321)-SIN($J$2)*AD321)/(COS($J$2)*COS(AE321))</f>
        <v>0.8723267406115351</v>
      </c>
      <c r="AG321" s="8">
        <f>DEGREES(ACOS(AF321))</f>
        <v>29.26984206894338</v>
      </c>
      <c r="AH321" s="8">
        <f>IF(AC321&gt;180,AG321,360-AG321)</f>
        <v>330.7301579310566</v>
      </c>
      <c r="AI321" s="8">
        <f>DEGREES(AE321)</f>
        <v>-56.3411002785642</v>
      </c>
      <c r="AJ321" s="28">
        <f>$C$5-AI321</f>
        <v>123.19776694523087</v>
      </c>
      <c r="AK321" s="29">
        <f>$D$5-AH321</f>
        <v>-102.83015793105662</v>
      </c>
      <c r="AL321" s="9">
        <f>AJ321*AJ321+AK321*AK321</f>
        <v>25751.731160417465</v>
      </c>
    </row>
    <row r="322" spans="1:38" s="8" customFormat="1" ht="12.75">
      <c r="A322" s="16" t="s">
        <v>137</v>
      </c>
      <c r="B322" s="16" t="s">
        <v>138</v>
      </c>
      <c r="C322" s="16" t="s">
        <v>135</v>
      </c>
      <c r="D322" s="16" t="s">
        <v>139</v>
      </c>
      <c r="E322" s="16" t="s">
        <v>138</v>
      </c>
      <c r="F322" s="16" t="s">
        <v>135</v>
      </c>
      <c r="M322" s="23">
        <v>40</v>
      </c>
      <c r="N322" s="23">
        <v>32</v>
      </c>
      <c r="O322" s="8" t="s">
        <v>110</v>
      </c>
      <c r="P322" s="8" t="s">
        <v>111</v>
      </c>
      <c r="Q322" s="8">
        <f>COS($F$381)*COS(P324)*COS(O324+$B$381)-SIN($F$381)*SIN(P324)</f>
        <v>0.541792787356259</v>
      </c>
      <c r="R322" s="8">
        <f>R321-360*INT(R321/360)</f>
        <v>10.284377338045182</v>
      </c>
      <c r="U322" s="8">
        <f>COS(S321)*COS($D$389)*COS($D$373)+SIN(S321)*SIN($D$389)</f>
        <v>-0.007515238979851735</v>
      </c>
      <c r="V322" s="8">
        <f>COS($D$389)*COS($D$373)*(TAN($D$373)*COS(S324)-SIN(S321)*SIN(S324))+COS(S321)*SIN(S324)*SIN($D$389)</f>
        <v>-0.7917862118217543</v>
      </c>
      <c r="AL322" s="9"/>
    </row>
    <row r="323" spans="1:38" s="8" customFormat="1" ht="12.75">
      <c r="A323" s="10">
        <f>($C$376+E321+F321/60)-INT(($C$376+E321+F321/60)/360)*360</f>
        <v>270.50675987696764</v>
      </c>
      <c r="B323" s="11">
        <f>TRUNC(A323)</f>
        <v>270</v>
      </c>
      <c r="C323" s="12">
        <f>(A323-B323)*60</f>
        <v>30.405592618058108</v>
      </c>
      <c r="D323" s="32" t="str">
        <f>IF(X321&gt;=0,"N","S")</f>
        <v>N</v>
      </c>
      <c r="E323" s="11">
        <f>ABS(TRUNC(X321))</f>
        <v>56</v>
      </c>
      <c r="F323" s="12">
        <f>ABS(X321-TRUNC(X321))*60</f>
        <v>36.2392607874564</v>
      </c>
      <c r="M323" s="30">
        <v>30.441</v>
      </c>
      <c r="N323" s="30">
        <v>14.39</v>
      </c>
      <c r="O323" s="31">
        <f>M324+O321/3600*$A$367</f>
        <v>10.12699138738242</v>
      </c>
      <c r="P323" s="31">
        <f>N324+P321/3600*$A$367</f>
        <v>56.53723225219788</v>
      </c>
      <c r="Q323" s="31">
        <f>SIN($F$381)*COS(P324)*COS(O324+$B$381)+COS($F$381)*SIN(P324)</f>
        <v>0.83482392430683</v>
      </c>
      <c r="R323" s="31" t="s">
        <v>139</v>
      </c>
      <c r="S323" s="20" t="s">
        <v>119</v>
      </c>
      <c r="T323" s="20" t="s">
        <v>122</v>
      </c>
      <c r="U323" s="20" t="s">
        <v>121</v>
      </c>
      <c r="V323" s="20" t="s">
        <v>122</v>
      </c>
      <c r="W323" s="20" t="s">
        <v>130</v>
      </c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9"/>
    </row>
    <row r="324" spans="1:38" s="8" customFormat="1" ht="12.75">
      <c r="A324" s="16"/>
      <c r="B324" s="16"/>
      <c r="C324" s="16"/>
      <c r="D324" s="16"/>
      <c r="E324" s="16"/>
      <c r="F324" s="16"/>
      <c r="M324" s="24">
        <f>(M321+M322/60+M323/3600)*15</f>
        <v>10.126837499999999</v>
      </c>
      <c r="N324" s="24">
        <f>N321+N322/60+N323/3600</f>
        <v>56.537330555555556</v>
      </c>
      <c r="O324" s="8">
        <f>RADIANS(O323)</f>
        <v>0.17674934303093176</v>
      </c>
      <c r="P324" s="8">
        <f>RADIANS(P323)</f>
        <v>0.9867608527655821</v>
      </c>
      <c r="R324" s="8">
        <f>DEGREES(ASIN(Q323))</f>
        <v>56.59750843971211</v>
      </c>
      <c r="S324" s="8">
        <f>RADIANS(R324)</f>
        <v>0.9878128706982549</v>
      </c>
      <c r="T324" s="8">
        <f>SIN($D$373)*COS(S321)*$A$370+SIN(S321)*$A$373</f>
        <v>3.311141054909542E-05</v>
      </c>
      <c r="U324" s="22">
        <f>($A$394*U321-U322)*$V$18/COS(S324)</f>
        <v>1.2625473692718973E-06</v>
      </c>
      <c r="V324" s="22">
        <f>($A$394*V321-V322)*$V$18</f>
        <v>7.997266185365706E-05</v>
      </c>
      <c r="W324" s="8">
        <f>360-W321</f>
        <v>349.710568983923</v>
      </c>
      <c r="AL324" s="9"/>
    </row>
    <row r="325" spans="1:38" s="8" customFormat="1" ht="12.75">
      <c r="A325" s="16" t="s">
        <v>140</v>
      </c>
      <c r="B325" s="16" t="s">
        <v>140</v>
      </c>
      <c r="C325" s="16" t="s">
        <v>140</v>
      </c>
      <c r="D325" s="16" t="s">
        <v>140</v>
      </c>
      <c r="E325" s="16" t="s">
        <v>140</v>
      </c>
      <c r="F325" s="16" t="s">
        <v>140</v>
      </c>
      <c r="M325" s="16" t="s">
        <v>140</v>
      </c>
      <c r="N325" s="16" t="s">
        <v>16</v>
      </c>
      <c r="O325" s="16" t="s">
        <v>140</v>
      </c>
      <c r="P325" s="16" t="s">
        <v>140</v>
      </c>
      <c r="Q325" s="16" t="s">
        <v>140</v>
      </c>
      <c r="R325" s="16" t="s">
        <v>140</v>
      </c>
      <c r="S325" s="16" t="s">
        <v>140</v>
      </c>
      <c r="T325" s="16" t="s">
        <v>16</v>
      </c>
      <c r="U325" s="16" t="s">
        <v>140</v>
      </c>
      <c r="V325" s="16" t="s">
        <v>140</v>
      </c>
      <c r="W325" s="16" t="s">
        <v>140</v>
      </c>
      <c r="X325" s="16" t="s">
        <v>140</v>
      </c>
      <c r="Y325" s="16" t="s">
        <v>140</v>
      </c>
      <c r="Z325" s="16" t="s">
        <v>16</v>
      </c>
      <c r="AA325" s="16" t="s">
        <v>140</v>
      </c>
      <c r="AB325" s="16" t="s">
        <v>140</v>
      </c>
      <c r="AC325" s="16" t="s">
        <v>140</v>
      </c>
      <c r="AD325" s="16" t="s">
        <v>140</v>
      </c>
      <c r="AE325" s="16" t="s">
        <v>140</v>
      </c>
      <c r="AF325" s="16" t="s">
        <v>16</v>
      </c>
      <c r="AG325" s="16" t="s">
        <v>140</v>
      </c>
      <c r="AH325" s="16" t="s">
        <v>140</v>
      </c>
      <c r="AI325" s="16" t="s">
        <v>140</v>
      </c>
      <c r="AJ325" s="16" t="s">
        <v>140</v>
      </c>
      <c r="AK325" s="16" t="s">
        <v>140</v>
      </c>
      <c r="AL325" s="9"/>
    </row>
    <row r="326" spans="1:38" s="8" customFormat="1" ht="12.75">
      <c r="A326" s="16"/>
      <c r="B326" s="16"/>
      <c r="C326" s="16"/>
      <c r="D326" s="16"/>
      <c r="E326" s="16"/>
      <c r="F326" s="16"/>
      <c r="M326" s="23" t="s">
        <v>104</v>
      </c>
      <c r="N326" s="23" t="s">
        <v>139</v>
      </c>
      <c r="O326" s="23" t="s">
        <v>106</v>
      </c>
      <c r="P326" s="23" t="s">
        <v>107</v>
      </c>
      <c r="Q326" s="8" t="s">
        <v>114</v>
      </c>
      <c r="R326" s="8" t="s">
        <v>104</v>
      </c>
      <c r="S326" s="8" t="s">
        <v>118</v>
      </c>
      <c r="T326" s="8" t="s">
        <v>121</v>
      </c>
      <c r="U326" s="8" t="s">
        <v>125</v>
      </c>
      <c r="V326" s="8" t="s">
        <v>126</v>
      </c>
      <c r="W326" s="8" t="s">
        <v>104</v>
      </c>
      <c r="X326" s="8" t="s">
        <v>139</v>
      </c>
      <c r="Y326" s="8" t="s">
        <v>67</v>
      </c>
      <c r="Z326" s="8" t="s">
        <v>68</v>
      </c>
      <c r="AA326" s="8" t="s">
        <v>69</v>
      </c>
      <c r="AB326" s="8" t="s">
        <v>74</v>
      </c>
      <c r="AC326" s="8" t="s">
        <v>73</v>
      </c>
      <c r="AD326" s="8" t="s">
        <v>70</v>
      </c>
      <c r="AE326" s="24" t="s">
        <v>75</v>
      </c>
      <c r="AF326" s="8" t="s">
        <v>71</v>
      </c>
      <c r="AG326" s="8" t="s">
        <v>72</v>
      </c>
      <c r="AH326" s="25" t="s">
        <v>76</v>
      </c>
      <c r="AI326" s="25" t="s">
        <v>77</v>
      </c>
      <c r="AJ326" s="24" t="s">
        <v>78</v>
      </c>
      <c r="AK326" s="24" t="s">
        <v>79</v>
      </c>
      <c r="AL326" s="9"/>
    </row>
    <row r="327" spans="1:38" s="8" customFormat="1" ht="12.75">
      <c r="A327" s="16" t="s">
        <v>16</v>
      </c>
      <c r="B327" s="26">
        <v>45</v>
      </c>
      <c r="C327" s="27">
        <v>1.6</v>
      </c>
      <c r="D327" s="18" t="s">
        <v>165</v>
      </c>
      <c r="E327" s="11">
        <f>TRUNC(W330)</f>
        <v>96</v>
      </c>
      <c r="F327" s="12">
        <f>ABS(W330-E327)*60</f>
        <v>24.71544490364863</v>
      </c>
      <c r="M327" s="23">
        <v>17</v>
      </c>
      <c r="N327" s="23">
        <v>-37</v>
      </c>
      <c r="O327" s="23">
        <v>-0.0089</v>
      </c>
      <c r="P327" s="23">
        <v>-0.02995</v>
      </c>
      <c r="Q327" s="8">
        <f>COS(P330)*SIN(O330+$B$381)</f>
        <v>-0.7923727571047113</v>
      </c>
      <c r="R327" s="8">
        <f>DEGREES(ATAN2(Q328,Q327))+$C$381</f>
        <v>-96.41087790412551</v>
      </c>
      <c r="S327" s="8">
        <f>RADIANS(R328)</f>
        <v>4.600498053014346</v>
      </c>
      <c r="T327" s="8">
        <f>(COS($D$373)+SIN($D$373)*SIN(S327)*TAN(S330))*$A$370-COS(S327)*TAN(S330)*$A$373</f>
        <v>0.00010299328369240738</v>
      </c>
      <c r="U327" s="8">
        <f>COS(S327)*COS($D$394)*COS($D$373)+SIN(S327)*SIN($D$394)</f>
        <v>-0.9445156875869555</v>
      </c>
      <c r="V327" s="8">
        <f>COS($D$394)*COS($D$373)*(TAN($D$373)*COS(S330)-SIN(S327)*SIN(S330))+COS(S327)*SIN(S330)*SIN($D$394)</f>
        <v>0.11850557200354143</v>
      </c>
      <c r="W327" s="8">
        <f>DEGREES(U330+T327+S327)</f>
        <v>263.5880759182725</v>
      </c>
      <c r="X327" s="8">
        <f>DEGREES(V330+T330+S330)</f>
        <v>-37.11042622370172</v>
      </c>
      <c r="Y327" s="28">
        <f>V330+T330+S330</f>
        <v>-0.6476991244220408</v>
      </c>
      <c r="Z327" s="8">
        <f>RADIANS(A329)</f>
        <v>0.3003382643715154</v>
      </c>
      <c r="AA327" s="8">
        <f>Z327+$K$2</f>
        <v>-1.79405683802168</v>
      </c>
      <c r="AB327" s="8">
        <f>DEGREES(AA327)</f>
        <v>-102.79188502522781</v>
      </c>
      <c r="AC327" s="8">
        <f>AB327-INT(AB327/360)*360</f>
        <v>257.2081149747722</v>
      </c>
      <c r="AD327" s="28">
        <f>SIN(Y327)*SIN($J$2)+COS(Y327)*COS($J$2)*COS(AA327)</f>
        <v>0.1487632698641525</v>
      </c>
      <c r="AE327" s="28">
        <f>ASIN(AD327)</f>
        <v>0.14931750849801967</v>
      </c>
      <c r="AF327" s="28">
        <f>(SIN(Y327)-SIN($J$2)*AD327)/(COS($J$2)*COS(AE327))</f>
        <v>-0.6176766416839022</v>
      </c>
      <c r="AG327" s="8">
        <f>DEGREES(ACOS(AF327))</f>
        <v>128.14666833859317</v>
      </c>
      <c r="AH327" s="8">
        <f>IF(AC327&gt;180,AG327,360-AG327)</f>
        <v>128.14666833859317</v>
      </c>
      <c r="AI327" s="8">
        <f>DEGREES(AE327)</f>
        <v>8.555263044345331</v>
      </c>
      <c r="AJ327" s="28">
        <f>$C$5-AI327</f>
        <v>58.30140362232134</v>
      </c>
      <c r="AK327" s="29">
        <f>$D$5-AH327</f>
        <v>99.75333166140683</v>
      </c>
      <c r="AL327" s="9">
        <f>AJ327*AJ327+AK327*AK327</f>
        <v>13349.780841883454</v>
      </c>
    </row>
    <row r="328" spans="1:38" s="8" customFormat="1" ht="12.75">
      <c r="A328" s="16" t="s">
        <v>137</v>
      </c>
      <c r="B328" s="16" t="s">
        <v>138</v>
      </c>
      <c r="C328" s="16" t="s">
        <v>135</v>
      </c>
      <c r="D328" s="16" t="s">
        <v>139</v>
      </c>
      <c r="E328" s="16" t="s">
        <v>138</v>
      </c>
      <c r="F328" s="16" t="s">
        <v>135</v>
      </c>
      <c r="M328" s="23">
        <v>33</v>
      </c>
      <c r="N328" s="23">
        <v>-6</v>
      </c>
      <c r="O328" s="8" t="s">
        <v>110</v>
      </c>
      <c r="P328" s="8" t="s">
        <v>111</v>
      </c>
      <c r="Q328" s="8">
        <f>COS($F$381)*COS(P330)*COS(O330+$B$381)-SIN($F$381)*SIN(P330)</f>
        <v>-0.09001826591792093</v>
      </c>
      <c r="R328" s="8">
        <f>R327-360*INT(R327/360)</f>
        <v>263.5891220958745</v>
      </c>
      <c r="U328" s="8">
        <f>COS(S327)*COS($D$389)*COS($D$373)+SIN(S327)*SIN($D$389)</f>
        <v>0.9573534852693425</v>
      </c>
      <c r="V328" s="8">
        <f>COS($D$389)*COS($D$373)*(TAN($D$373)*COS(S330)-SIN(S327)*SIN(S330))+COS(S327)*SIN(S330)*SIN($D$389)</f>
        <v>-0.10951485717371894</v>
      </c>
      <c r="AL328" s="9"/>
    </row>
    <row r="329" spans="1:38" s="8" customFormat="1" ht="12.75">
      <c r="A329" s="10">
        <f>($C$376+E327+F327/60)-INT(($C$376+E327+F327/60)/360)*360</f>
        <v>17.208114974772172</v>
      </c>
      <c r="B329" s="11">
        <f>TRUNC(A329)</f>
        <v>17</v>
      </c>
      <c r="C329" s="12">
        <f>(A329-B329)*60</f>
        <v>12.486898486330347</v>
      </c>
      <c r="D329" s="32" t="str">
        <f>IF(X327&gt;=0,"N","S")</f>
        <v>S</v>
      </c>
      <c r="E329" s="11">
        <f>ABS(TRUNC(X327))</f>
        <v>37</v>
      </c>
      <c r="F329" s="12">
        <f>ABS(X327-TRUNC(X327))*60</f>
        <v>6.6255734221033435</v>
      </c>
      <c r="M329" s="30">
        <v>36.52</v>
      </c>
      <c r="N329" s="30">
        <v>-13.76</v>
      </c>
      <c r="O329" s="31">
        <f>M330+O327/3600*$A$367</f>
        <v>263.40213947052484</v>
      </c>
      <c r="P329" s="31">
        <f>N330+P327/3600*$A$367</f>
        <v>-37.10391374182316</v>
      </c>
      <c r="Q329" s="31">
        <f>SIN($F$381)*COS(P330)*COS(O330+$B$381)+COS($F$381)*SIN(P330)</f>
        <v>-0.6033590354004891</v>
      </c>
      <c r="R329" s="31" t="s">
        <v>139</v>
      </c>
      <c r="S329" s="20" t="s">
        <v>119</v>
      </c>
      <c r="T329" s="20" t="s">
        <v>122</v>
      </c>
      <c r="U329" s="20" t="s">
        <v>121</v>
      </c>
      <c r="V329" s="20" t="s">
        <v>122</v>
      </c>
      <c r="W329" s="20" t="s">
        <v>130</v>
      </c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9"/>
    </row>
    <row r="330" spans="1:38" s="8" customFormat="1" ht="12.75">
      <c r="A330" s="16"/>
      <c r="B330" s="16"/>
      <c r="C330" s="16"/>
      <c r="D330" s="16"/>
      <c r="E330" s="16"/>
      <c r="F330" s="16"/>
      <c r="M330" s="24">
        <f>(M327+M328/60+M329/3600)*15</f>
        <v>263.4021666666667</v>
      </c>
      <c r="N330" s="24">
        <f>N327+N328/60+N329/3600</f>
        <v>-37.10382222222222</v>
      </c>
      <c r="O330" s="8">
        <f>RADIANS(O329)</f>
        <v>4.597234590557972</v>
      </c>
      <c r="P330" s="8">
        <f>RADIANS(P329)</f>
        <v>-0.6475854601707834</v>
      </c>
      <c r="R330" s="8">
        <f>DEGREES(ASIN(Q329))</f>
        <v>-37.11085153894485</v>
      </c>
      <c r="S330" s="8">
        <f>RADIANS(R330)</f>
        <v>-0.6477065475733923</v>
      </c>
      <c r="T330" s="8">
        <f>SIN($D$373)*COS(S327)*$A$370+SIN(S327)*$A$373</f>
        <v>-3.655496715411613E-06</v>
      </c>
      <c r="U330" s="22">
        <f>($A$394*U327-U328)*$V$18/COS(S330)</f>
        <v>-0.00012125252740681817</v>
      </c>
      <c r="V330" s="22">
        <f>($A$394*V327-V328)*$V$18</f>
        <v>1.1078648066853174E-05</v>
      </c>
      <c r="W330" s="8">
        <f>360-W327</f>
        <v>96.41192408172748</v>
      </c>
      <c r="AL330" s="9"/>
    </row>
    <row r="331" spans="1:38" s="8" customFormat="1" ht="12.75">
      <c r="A331" s="16" t="s">
        <v>140</v>
      </c>
      <c r="B331" s="16" t="s">
        <v>140</v>
      </c>
      <c r="C331" s="16" t="s">
        <v>140</v>
      </c>
      <c r="D331" s="16" t="s">
        <v>140</v>
      </c>
      <c r="E331" s="16" t="s">
        <v>140</v>
      </c>
      <c r="F331" s="16" t="s">
        <v>140</v>
      </c>
      <c r="M331" s="16" t="s">
        <v>140</v>
      </c>
      <c r="N331" s="16" t="s">
        <v>17</v>
      </c>
      <c r="O331" s="16" t="s">
        <v>140</v>
      </c>
      <c r="P331" s="16" t="s">
        <v>140</v>
      </c>
      <c r="Q331" s="16" t="s">
        <v>140</v>
      </c>
      <c r="R331" s="16" t="s">
        <v>140</v>
      </c>
      <c r="S331" s="16" t="s">
        <v>140</v>
      </c>
      <c r="T331" s="16" t="s">
        <v>17</v>
      </c>
      <c r="U331" s="16" t="s">
        <v>140</v>
      </c>
      <c r="V331" s="16" t="s">
        <v>140</v>
      </c>
      <c r="W331" s="16" t="s">
        <v>140</v>
      </c>
      <c r="X331" s="16" t="s">
        <v>140</v>
      </c>
      <c r="Y331" s="16" t="s">
        <v>140</v>
      </c>
      <c r="Z331" s="16" t="s">
        <v>17</v>
      </c>
      <c r="AA331" s="16" t="s">
        <v>140</v>
      </c>
      <c r="AB331" s="16" t="s">
        <v>140</v>
      </c>
      <c r="AC331" s="16" t="s">
        <v>140</v>
      </c>
      <c r="AD331" s="16" t="s">
        <v>140</v>
      </c>
      <c r="AE331" s="16" t="s">
        <v>140</v>
      </c>
      <c r="AF331" s="16" t="s">
        <v>17</v>
      </c>
      <c r="AG331" s="16" t="s">
        <v>140</v>
      </c>
      <c r="AH331" s="16" t="s">
        <v>140</v>
      </c>
      <c r="AI331" s="16" t="s">
        <v>140</v>
      </c>
      <c r="AJ331" s="16" t="s">
        <v>140</v>
      </c>
      <c r="AK331" s="16" t="s">
        <v>140</v>
      </c>
      <c r="AL331" s="9"/>
    </row>
    <row r="332" spans="1:38" s="8" customFormat="1" ht="12.75">
      <c r="A332" s="16"/>
      <c r="B332" s="16"/>
      <c r="C332" s="16"/>
      <c r="D332" s="16"/>
      <c r="E332" s="16"/>
      <c r="F332" s="16"/>
      <c r="M332" s="23" t="s">
        <v>104</v>
      </c>
      <c r="N332" s="23" t="s">
        <v>139</v>
      </c>
      <c r="O332" s="23" t="s">
        <v>106</v>
      </c>
      <c r="P332" s="23" t="s">
        <v>107</v>
      </c>
      <c r="Q332" s="8" t="s">
        <v>114</v>
      </c>
      <c r="R332" s="8" t="s">
        <v>104</v>
      </c>
      <c r="S332" s="8" t="s">
        <v>118</v>
      </c>
      <c r="T332" s="8" t="s">
        <v>121</v>
      </c>
      <c r="U332" s="8" t="s">
        <v>125</v>
      </c>
      <c r="V332" s="8" t="s">
        <v>126</v>
      </c>
      <c r="W332" s="8" t="s">
        <v>104</v>
      </c>
      <c r="X332" s="8" t="s">
        <v>139</v>
      </c>
      <c r="Y332" s="8" t="s">
        <v>67</v>
      </c>
      <c r="Z332" s="8" t="s">
        <v>68</v>
      </c>
      <c r="AA332" s="8" t="s">
        <v>69</v>
      </c>
      <c r="AB332" s="8" t="s">
        <v>74</v>
      </c>
      <c r="AC332" s="8" t="s">
        <v>73</v>
      </c>
      <c r="AD332" s="8" t="s">
        <v>70</v>
      </c>
      <c r="AE332" s="24" t="s">
        <v>75</v>
      </c>
      <c r="AF332" s="8" t="s">
        <v>71</v>
      </c>
      <c r="AG332" s="8" t="s">
        <v>72</v>
      </c>
      <c r="AH332" s="25" t="s">
        <v>76</v>
      </c>
      <c r="AI332" s="25" t="s">
        <v>77</v>
      </c>
      <c r="AJ332" s="24" t="s">
        <v>78</v>
      </c>
      <c r="AK332" s="24" t="s">
        <v>79</v>
      </c>
      <c r="AL332" s="9"/>
    </row>
    <row r="333" spans="1:38" s="8" customFormat="1" ht="12.75">
      <c r="A333" s="16" t="s">
        <v>17</v>
      </c>
      <c r="B333" s="26">
        <v>18</v>
      </c>
      <c r="C333" s="27">
        <v>-1.5</v>
      </c>
      <c r="D333" s="18" t="s">
        <v>165</v>
      </c>
      <c r="E333" s="11">
        <f>TRUNC(W336)</f>
        <v>258</v>
      </c>
      <c r="F333" s="12">
        <f>ABS(W336-E333)*60</f>
        <v>34.90217956769584</v>
      </c>
      <c r="M333" s="23">
        <v>6</v>
      </c>
      <c r="N333" s="23">
        <v>-16</v>
      </c>
      <c r="O333" s="23">
        <v>-0.54605</v>
      </c>
      <c r="P333" s="23">
        <v>-1.22314</v>
      </c>
      <c r="Q333" s="8">
        <f>COS(P336)*SIN(O336+$B$381)</f>
        <v>0.9389733449495373</v>
      </c>
      <c r="R333" s="8">
        <f>DEGREES(ATAN2(Q334,Q333))+$C$381</f>
        <v>101.40838977023031</v>
      </c>
      <c r="S333" s="8">
        <f>RADIANS(R334)</f>
        <v>1.769910290636255</v>
      </c>
      <c r="T333" s="8">
        <f>(COS($D$373)+SIN($D$373)*SIN(S333)*TAN(S336))*$A$370-COS(S333)*TAN(S336)*$A$373</f>
        <v>6.775243890281693E-05</v>
      </c>
      <c r="U333" s="8">
        <f>COS(S333)*COS($D$394)*COS($D$373)+SIN(S333)*SIN($D$394)</f>
        <v>0.995844092502628</v>
      </c>
      <c r="V333" s="8">
        <f>COS($D$394)*COS($D$373)*(TAN($D$373)*COS(S336)-SIN(S333)*SIN(S336))+COS(S333)*SIN(S336)*SIN($D$394)</f>
        <v>-0.089850166295026</v>
      </c>
      <c r="W333" s="8">
        <f>DEGREES(U336+T333+S333)</f>
        <v>101.41829700720506</v>
      </c>
      <c r="X333" s="8">
        <f>DEGREES(V336+T336+S336)</f>
        <v>-16.732659225488096</v>
      </c>
      <c r="Y333" s="28">
        <f>V336+T336+S336</f>
        <v>-0.2920399960989715</v>
      </c>
      <c r="Z333" s="8">
        <f>RADIANS(A335)</f>
        <v>3.1307348536009068</v>
      </c>
      <c r="AA333" s="8">
        <f>Z333+$K$2</f>
        <v>1.0363397512077115</v>
      </c>
      <c r="AB333" s="8">
        <f>DEGREES(AA333)</f>
        <v>59.377893885839626</v>
      </c>
      <c r="AC333" s="8">
        <f>AB333-INT(AB333/360)*360</f>
        <v>59.377893885839626</v>
      </c>
      <c r="AD333" s="28">
        <f>SIN(Y333)*SIN($J$2)+COS(Y333)*COS($J$2)*COS(AA333)</f>
        <v>0.5664054854933036</v>
      </c>
      <c r="AE333" s="28">
        <f>ASIN(AD333)</f>
        <v>0.602137680146495</v>
      </c>
      <c r="AF333" s="28">
        <f>(SIN(Y333)-SIN($J$2)*AD333)/(COS($J$2)*COS(AE333))</f>
        <v>-0.006590448550818248</v>
      </c>
      <c r="AG333" s="8">
        <f>DEGREES(ACOS(AF333))</f>
        <v>90.37760762059597</v>
      </c>
      <c r="AH333" s="8">
        <f>IF(AC333&gt;180,AG333,360-AG333)</f>
        <v>269.622392379404</v>
      </c>
      <c r="AI333" s="8">
        <f>DEGREES(AE333)</f>
        <v>34.49994775819247</v>
      </c>
      <c r="AJ333" s="28">
        <f>$C$5-AI333</f>
        <v>32.3567189084742</v>
      </c>
      <c r="AK333" s="29">
        <f>$D$5-AH333</f>
        <v>-41.722392379404</v>
      </c>
      <c r="AL333" s="9">
        <f>AJ333*AJ333+AK333*AK333</f>
        <v>2787.715284382961</v>
      </c>
    </row>
    <row r="334" spans="1:38" s="8" customFormat="1" ht="12.75">
      <c r="A334" s="16" t="s">
        <v>137</v>
      </c>
      <c r="B334" s="16" t="s">
        <v>138</v>
      </c>
      <c r="C334" s="16" t="s">
        <v>135</v>
      </c>
      <c r="D334" s="16" t="s">
        <v>139</v>
      </c>
      <c r="E334" s="16" t="s">
        <v>138</v>
      </c>
      <c r="F334" s="16" t="s">
        <v>135</v>
      </c>
      <c r="M334" s="23">
        <v>45</v>
      </c>
      <c r="N334" s="23">
        <v>-42</v>
      </c>
      <c r="O334" s="8" t="s">
        <v>110</v>
      </c>
      <c r="P334" s="8" t="s">
        <v>111</v>
      </c>
      <c r="Q334" s="8">
        <f>COS($F$381)*COS(P336)*COS(O336+$B$381)-SIN($F$381)*SIN(P336)</f>
        <v>-0.18827162291260185</v>
      </c>
      <c r="R334" s="8">
        <f>R333-360*INT(R333/360)</f>
        <v>101.40838977023031</v>
      </c>
      <c r="U334" s="8">
        <f>COS(S333)*COS($D$389)*COS($D$373)+SIN(S333)*SIN($D$389)</f>
        <v>-0.9968921968987806</v>
      </c>
      <c r="V334" s="8">
        <f>COS($D$389)*COS($D$373)*(TAN($D$373)*COS(S336)-SIN(S333)*SIN(S336))+COS(S333)*SIN(S336)*SIN($D$389)</f>
        <v>0.06305157173996084</v>
      </c>
      <c r="AL334" s="9"/>
    </row>
    <row r="335" spans="1:38" s="8" customFormat="1" ht="12.75">
      <c r="A335" s="10">
        <f>($C$376+E333+F333/60)-INT(($C$376+E333+F333/60)/360)*360</f>
        <v>179.37789388583963</v>
      </c>
      <c r="B335" s="11">
        <f>TRUNC(A335)</f>
        <v>179</v>
      </c>
      <c r="C335" s="12">
        <f>(A335-B335)*60</f>
        <v>22.673633150377555</v>
      </c>
      <c r="D335" s="32" t="str">
        <f>IF(X333&gt;=0,"N","S")</f>
        <v>S</v>
      </c>
      <c r="E335" s="11">
        <f>ABS(TRUNC(X333))</f>
        <v>16</v>
      </c>
      <c r="F335" s="12">
        <f>ABS(X333-TRUNC(X333))*60</f>
        <v>43.95955352928574</v>
      </c>
      <c r="M335" s="30">
        <v>8.917</v>
      </c>
      <c r="N335" s="30">
        <v>-58.02</v>
      </c>
      <c r="O335" s="31">
        <f>M336+O333/3600*$A$367</f>
        <v>101.28548557641308</v>
      </c>
      <c r="P335" s="31">
        <f>N336+P333/3600*$A$367</f>
        <v>-16.719854272165747</v>
      </c>
      <c r="Q335" s="31">
        <f>SIN($F$381)*COS(P336)*COS(O336+$B$381)+COS($F$381)*SIN(P336)</f>
        <v>-0.28789382327540874</v>
      </c>
      <c r="R335" s="31" t="s">
        <v>139</v>
      </c>
      <c r="S335" s="20" t="s">
        <v>119</v>
      </c>
      <c r="T335" s="20" t="s">
        <v>122</v>
      </c>
      <c r="U335" s="20" t="s">
        <v>121</v>
      </c>
      <c r="V335" s="20" t="s">
        <v>122</v>
      </c>
      <c r="W335" s="20" t="s">
        <v>130</v>
      </c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9"/>
    </row>
    <row r="336" spans="1:38" s="8" customFormat="1" ht="12.75">
      <c r="A336" s="16"/>
      <c r="B336" s="16"/>
      <c r="C336" s="16"/>
      <c r="D336" s="16"/>
      <c r="E336" s="16"/>
      <c r="F336" s="16"/>
      <c r="M336" s="24">
        <f>(M333+M334/60+M335/3600)*15</f>
        <v>101.28715416666667</v>
      </c>
      <c r="N336" s="24">
        <f>N333+N334/60+N335/3600</f>
        <v>-16.716116666666665</v>
      </c>
      <c r="O336" s="8">
        <f>RADIANS(O335)</f>
        <v>1.7677652077896349</v>
      </c>
      <c r="P336" s="8">
        <f>RADIANS(P335)</f>
        <v>-0.2918165075029324</v>
      </c>
      <c r="R336" s="8">
        <f>DEGREES(ASIN(Q335))</f>
        <v>-16.731904230446496</v>
      </c>
      <c r="S336" s="8">
        <f>RADIANS(R336)</f>
        <v>-0.29202681894965943</v>
      </c>
      <c r="T336" s="8">
        <f>SIN($D$373)*COS(S333)*$A$370+SIN(S333)*$A$373</f>
        <v>-6.762891654958749E-06</v>
      </c>
      <c r="U336" s="22">
        <f>($A$394*U333-U334)*$V$18/COS(S336)</f>
        <v>0.00010516146608150445</v>
      </c>
      <c r="V336" s="22">
        <f>($A$394*V333-V334)*$V$18</f>
        <v>-6.414257657111909E-06</v>
      </c>
      <c r="W336" s="8">
        <f>360-W333</f>
        <v>258.58170299279493</v>
      </c>
      <c r="AL336" s="9"/>
    </row>
    <row r="337" spans="1:38" s="8" customFormat="1" ht="12.75">
      <c r="A337" s="16" t="s">
        <v>140</v>
      </c>
      <c r="B337" s="16" t="s">
        <v>140</v>
      </c>
      <c r="C337" s="16" t="s">
        <v>140</v>
      </c>
      <c r="D337" s="16" t="s">
        <v>140</v>
      </c>
      <c r="E337" s="16" t="s">
        <v>140</v>
      </c>
      <c r="F337" s="16" t="s">
        <v>140</v>
      </c>
      <c r="M337" s="16" t="s">
        <v>140</v>
      </c>
      <c r="N337" s="16" t="s">
        <v>18</v>
      </c>
      <c r="O337" s="16" t="s">
        <v>140</v>
      </c>
      <c r="P337" s="16" t="s">
        <v>140</v>
      </c>
      <c r="Q337" s="16" t="s">
        <v>140</v>
      </c>
      <c r="R337" s="16" t="s">
        <v>140</v>
      </c>
      <c r="S337" s="16" t="s">
        <v>140</v>
      </c>
      <c r="T337" s="16" t="s">
        <v>18</v>
      </c>
      <c r="U337" s="16" t="s">
        <v>140</v>
      </c>
      <c r="V337" s="16" t="s">
        <v>140</v>
      </c>
      <c r="W337" s="16" t="s">
        <v>140</v>
      </c>
      <c r="X337" s="16" t="s">
        <v>140</v>
      </c>
      <c r="Y337" s="16" t="s">
        <v>140</v>
      </c>
      <c r="Z337" s="16" t="s">
        <v>18</v>
      </c>
      <c r="AA337" s="16" t="s">
        <v>140</v>
      </c>
      <c r="AB337" s="16" t="s">
        <v>140</v>
      </c>
      <c r="AC337" s="16" t="s">
        <v>140</v>
      </c>
      <c r="AD337" s="16" t="s">
        <v>140</v>
      </c>
      <c r="AE337" s="16" t="s">
        <v>140</v>
      </c>
      <c r="AF337" s="16" t="s">
        <v>18</v>
      </c>
      <c r="AG337" s="16" t="s">
        <v>140</v>
      </c>
      <c r="AH337" s="16" t="s">
        <v>140</v>
      </c>
      <c r="AI337" s="16" t="s">
        <v>140</v>
      </c>
      <c r="AJ337" s="16" t="s">
        <v>140</v>
      </c>
      <c r="AK337" s="16" t="s">
        <v>140</v>
      </c>
      <c r="AL337" s="9"/>
    </row>
    <row r="338" spans="1:38" s="8" customFormat="1" ht="12.75">
      <c r="A338" s="16"/>
      <c r="B338" s="16"/>
      <c r="C338" s="16"/>
      <c r="D338" s="16"/>
      <c r="E338" s="16"/>
      <c r="F338" s="16"/>
      <c r="M338" s="23" t="s">
        <v>104</v>
      </c>
      <c r="N338" s="23" t="s">
        <v>139</v>
      </c>
      <c r="O338" s="23" t="s">
        <v>106</v>
      </c>
      <c r="P338" s="23" t="s">
        <v>107</v>
      </c>
      <c r="Q338" s="8" t="s">
        <v>114</v>
      </c>
      <c r="R338" s="8" t="s">
        <v>104</v>
      </c>
      <c r="S338" s="8" t="s">
        <v>118</v>
      </c>
      <c r="T338" s="8" t="s">
        <v>121</v>
      </c>
      <c r="U338" s="8" t="s">
        <v>125</v>
      </c>
      <c r="V338" s="8" t="s">
        <v>126</v>
      </c>
      <c r="W338" s="8" t="s">
        <v>104</v>
      </c>
      <c r="X338" s="8" t="s">
        <v>139</v>
      </c>
      <c r="Y338" s="8" t="s">
        <v>67</v>
      </c>
      <c r="Z338" s="8" t="s">
        <v>68</v>
      </c>
      <c r="AA338" s="8" t="s">
        <v>69</v>
      </c>
      <c r="AB338" s="8" t="s">
        <v>74</v>
      </c>
      <c r="AC338" s="8" t="s">
        <v>73</v>
      </c>
      <c r="AD338" s="8" t="s">
        <v>70</v>
      </c>
      <c r="AE338" s="24" t="s">
        <v>75</v>
      </c>
      <c r="AF338" s="8" t="s">
        <v>71</v>
      </c>
      <c r="AG338" s="8" t="s">
        <v>72</v>
      </c>
      <c r="AH338" s="25" t="s">
        <v>76</v>
      </c>
      <c r="AI338" s="25" t="s">
        <v>77</v>
      </c>
      <c r="AJ338" s="24" t="s">
        <v>78</v>
      </c>
      <c r="AK338" s="24" t="s">
        <v>79</v>
      </c>
      <c r="AL338" s="9"/>
    </row>
    <row r="339" spans="1:38" s="8" customFormat="1" ht="12.75">
      <c r="A339" s="16" t="s">
        <v>18</v>
      </c>
      <c r="B339" s="26">
        <v>33</v>
      </c>
      <c r="C339" s="27">
        <v>1</v>
      </c>
      <c r="D339" s="18" t="s">
        <v>165</v>
      </c>
      <c r="E339" s="11">
        <f>TRUNC(W342)</f>
        <v>158</v>
      </c>
      <c r="F339" s="12">
        <f>ABS(W342-E339)*60</f>
        <v>33.18645683769432</v>
      </c>
      <c r="M339" s="23">
        <v>13</v>
      </c>
      <c r="N339" s="23">
        <v>-11</v>
      </c>
      <c r="O339" s="23">
        <v>-0.0425</v>
      </c>
      <c r="P339" s="23">
        <v>-0.03173</v>
      </c>
      <c r="Q339" s="8">
        <f>COS(P342)*SIN(O342+$B$381)</f>
        <v>-0.3574745785165067</v>
      </c>
      <c r="R339" s="8">
        <f>DEGREES(ATAN2(Q340,Q339))+$C$381</f>
        <v>-158.55651999313525</v>
      </c>
      <c r="S339" s="8">
        <f>RADIANS(R340)</f>
        <v>3.515851982795159</v>
      </c>
      <c r="T339" s="8">
        <f>(COS($D$373)+SIN($D$373)*SIN(S339)*TAN(S342))*$A$370-COS(S339)*TAN(S342)*$A$373</f>
        <v>8.012929430685076E-05</v>
      </c>
      <c r="U339" s="8">
        <f>COS(S339)*COS($D$394)*COS($D$373)+SIN(S339)*SIN($D$394)</f>
        <v>-0.16208997516351845</v>
      </c>
      <c r="V339" s="8">
        <f>COS($D$394)*COS($D$373)*(TAN($D$373)*COS(S342)-SIN(S339)*SIN(S342))+COS(S339)*SIN(S342)*SIN($D$394)</f>
        <v>0.10256675074065995</v>
      </c>
      <c r="W339" s="8">
        <f>DEGREES(U342+T339+S339)</f>
        <v>201.44689238603843</v>
      </c>
      <c r="X339" s="8">
        <f>DEGREES(V342+T342+S342)</f>
        <v>-11.219568063847328</v>
      </c>
      <c r="Y339" s="28">
        <f>V342+T342+S342</f>
        <v>-0.19581840336574124</v>
      </c>
      <c r="Z339" s="8">
        <f>RADIANS(A341)</f>
        <v>1.3849065180950801</v>
      </c>
      <c r="AA339" s="8">
        <f>Z339+$K$2</f>
        <v>-0.7094885842981151</v>
      </c>
      <c r="AB339" s="8">
        <f>DEGREES(AA339)</f>
        <v>-40.650701492993726</v>
      </c>
      <c r="AC339" s="8">
        <f>AB339-INT(AB339/360)*360</f>
        <v>319.34929850700627</v>
      </c>
      <c r="AD339" s="28">
        <f>SIN(Y339)*SIN($J$2)+COS(Y339)*COS($J$2)*COS(AA339)</f>
        <v>0.7417769169357729</v>
      </c>
      <c r="AE339" s="28">
        <f>ASIN(AD339)</f>
        <v>0.8357160477801335</v>
      </c>
      <c r="AF339" s="28">
        <f>(SIN(Y339)-SIN($J$2)*AD339)/(COS($J$2)*COS(AE339))</f>
        <v>0.3035812339241068</v>
      </c>
      <c r="AG339" s="8">
        <f>DEGREES(ACOS(AF339))</f>
        <v>72.32717210973378</v>
      </c>
      <c r="AH339" s="8">
        <f>IF(AC339&gt;180,AG339,360-AG339)</f>
        <v>72.32717210973378</v>
      </c>
      <c r="AI339" s="8">
        <f>DEGREES(AE339)</f>
        <v>47.883002409155104</v>
      </c>
      <c r="AJ339" s="28">
        <f>$C$5-AI339</f>
        <v>18.973664257511565</v>
      </c>
      <c r="AK339" s="29">
        <f>$D$5-AH339</f>
        <v>155.57282789026624</v>
      </c>
      <c r="AL339" s="9">
        <f>AJ339*AJ339+AK339*AK339</f>
        <v>24562.904713131175</v>
      </c>
    </row>
    <row r="340" spans="1:38" s="8" customFormat="1" ht="12.75">
      <c r="A340" s="16" t="s">
        <v>137</v>
      </c>
      <c r="B340" s="16" t="s">
        <v>138</v>
      </c>
      <c r="C340" s="16" t="s">
        <v>135</v>
      </c>
      <c r="D340" s="16" t="s">
        <v>139</v>
      </c>
      <c r="E340" s="16" t="s">
        <v>138</v>
      </c>
      <c r="F340" s="16" t="s">
        <v>135</v>
      </c>
      <c r="M340" s="23">
        <v>25</v>
      </c>
      <c r="N340" s="23">
        <v>-9</v>
      </c>
      <c r="O340" s="8" t="s">
        <v>110</v>
      </c>
      <c r="P340" s="8" t="s">
        <v>111</v>
      </c>
      <c r="Q340" s="8">
        <f>COS($F$381)*COS(P342)*COS(O342+$B$381)-SIN($F$381)*SIN(P342)</f>
        <v>-0.9134342423898583</v>
      </c>
      <c r="R340" s="8">
        <f>R339-360*INT(R339/360)</f>
        <v>201.44348000686475</v>
      </c>
      <c r="U340" s="8">
        <f>COS(S339)*COS($D$389)*COS($D$373)+SIN(S339)*SIN($D$389)</f>
        <v>0.20037145762060435</v>
      </c>
      <c r="V340" s="8">
        <f>COS($D$389)*COS($D$373)*(TAN($D$373)*COS(S342)-SIN(S339)*SIN(S342))+COS(S339)*SIN(S342)*SIN($D$389)</f>
        <v>-0.11749552123838602</v>
      </c>
      <c r="AL340" s="9"/>
    </row>
    <row r="341" spans="1:38" s="8" customFormat="1" ht="12.75">
      <c r="A341" s="10">
        <f>($C$376+E339+F339/60)-INT(($C$376+E339+F339/60)/360)*360</f>
        <v>79.34929850700627</v>
      </c>
      <c r="B341" s="11">
        <f>TRUNC(A341)</f>
        <v>79</v>
      </c>
      <c r="C341" s="12">
        <f>(A341-B341)*60</f>
        <v>20.957910420376038</v>
      </c>
      <c r="D341" s="32" t="str">
        <f>IF(X339&gt;=0,"N","S")</f>
        <v>S</v>
      </c>
      <c r="E341" s="11">
        <f>ABS(TRUNC(X339))</f>
        <v>11</v>
      </c>
      <c r="F341" s="12">
        <f>ABS(X339-TRUNC(X339))*60</f>
        <v>13.174083830839685</v>
      </c>
      <c r="M341" s="30">
        <v>11.579</v>
      </c>
      <c r="N341" s="30">
        <v>-40.76</v>
      </c>
      <c r="O341" s="31">
        <f>M342+O339/3600*$A$367</f>
        <v>201.29811596411665</v>
      </c>
      <c r="P341" s="31">
        <f>N342+P339/3600*$A$367</f>
        <v>-11.161419181051537</v>
      </c>
      <c r="Q341" s="31">
        <f>SIN($F$381)*COS(P342)*COS(O342+$B$381)+COS($F$381)*SIN(P342)</f>
        <v>-0.19455027767677824</v>
      </c>
      <c r="R341" s="31" t="s">
        <v>139</v>
      </c>
      <c r="S341" s="20" t="s">
        <v>119</v>
      </c>
      <c r="T341" s="20" t="s">
        <v>122</v>
      </c>
      <c r="U341" s="20" t="s">
        <v>121</v>
      </c>
      <c r="V341" s="20" t="s">
        <v>122</v>
      </c>
      <c r="W341" s="20" t="s">
        <v>130</v>
      </c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9"/>
    </row>
    <row r="342" spans="1:38" s="8" customFormat="1" ht="12.75">
      <c r="A342" s="16"/>
      <c r="B342" s="16"/>
      <c r="C342" s="16"/>
      <c r="D342" s="16"/>
      <c r="E342" s="16"/>
      <c r="F342" s="16"/>
      <c r="M342" s="24">
        <f>(M339+M340/60+M341/3600)*15</f>
        <v>201.29824583333334</v>
      </c>
      <c r="N342" s="24">
        <f>N339+N340/60+N341/3600</f>
        <v>-11.161322222222223</v>
      </c>
      <c r="O342" s="8">
        <f>RADIANS(O341)</f>
        <v>3.513314901635195</v>
      </c>
      <c r="P342" s="8">
        <f>RADIANS(P341)</f>
        <v>-0.1948035139045984</v>
      </c>
      <c r="R342" s="8">
        <f>DEGREES(ASIN(Q341))</f>
        <v>-11.21845326977227</v>
      </c>
      <c r="S342" s="8">
        <f>RADIANS(R342)</f>
        <v>-0.19579894653864977</v>
      </c>
      <c r="T342" s="8">
        <f>SIN($D$373)*COS(S339)*$A$370+SIN(S339)*$A$373</f>
        <v>-3.130201934248527E-05</v>
      </c>
      <c r="U342" s="22">
        <f>($A$394*U339-U340)*$V$18/COS(S342)</f>
        <v>-2.0572042399222898E-05</v>
      </c>
      <c r="V342" s="22">
        <f>($A$394*V339-V340)*$V$18</f>
        <v>1.1845192251003812E-05</v>
      </c>
      <c r="W342" s="8">
        <f>360-W339</f>
        <v>158.55310761396157</v>
      </c>
      <c r="AL342" s="9"/>
    </row>
    <row r="343" spans="1:38" s="8" customFormat="1" ht="12.75">
      <c r="A343" s="16" t="s">
        <v>140</v>
      </c>
      <c r="B343" s="16" t="s">
        <v>140</v>
      </c>
      <c r="C343" s="16" t="s">
        <v>140</v>
      </c>
      <c r="D343" s="16" t="s">
        <v>140</v>
      </c>
      <c r="E343" s="16" t="s">
        <v>140</v>
      </c>
      <c r="F343" s="16" t="s">
        <v>140</v>
      </c>
      <c r="M343" s="16" t="s">
        <v>140</v>
      </c>
      <c r="N343" s="16" t="s">
        <v>19</v>
      </c>
      <c r="O343" s="16" t="s">
        <v>140</v>
      </c>
      <c r="P343" s="16" t="s">
        <v>140</v>
      </c>
      <c r="Q343" s="16" t="s">
        <v>140</v>
      </c>
      <c r="R343" s="16" t="s">
        <v>140</v>
      </c>
      <c r="S343" s="16" t="s">
        <v>140</v>
      </c>
      <c r="T343" s="16" t="s">
        <v>19</v>
      </c>
      <c r="U343" s="16" t="s">
        <v>140</v>
      </c>
      <c r="V343" s="16" t="s">
        <v>140</v>
      </c>
      <c r="W343" s="16" t="s">
        <v>140</v>
      </c>
      <c r="X343" s="16" t="s">
        <v>140</v>
      </c>
      <c r="Y343" s="16" t="s">
        <v>140</v>
      </c>
      <c r="Z343" s="16" t="s">
        <v>19</v>
      </c>
      <c r="AA343" s="16" t="s">
        <v>140</v>
      </c>
      <c r="AB343" s="16" t="s">
        <v>140</v>
      </c>
      <c r="AC343" s="16" t="s">
        <v>140</v>
      </c>
      <c r="AD343" s="16" t="s">
        <v>140</v>
      </c>
      <c r="AE343" s="16" t="s">
        <v>140</v>
      </c>
      <c r="AF343" s="16" t="s">
        <v>19</v>
      </c>
      <c r="AG343" s="16" t="s">
        <v>140</v>
      </c>
      <c r="AH343" s="16" t="s">
        <v>140</v>
      </c>
      <c r="AI343" s="16" t="s">
        <v>140</v>
      </c>
      <c r="AJ343" s="16" t="s">
        <v>140</v>
      </c>
      <c r="AK343" s="16" t="s">
        <v>140</v>
      </c>
      <c r="AL343" s="9"/>
    </row>
    <row r="344" spans="1:38" s="8" customFormat="1" ht="12.75">
      <c r="A344" s="16"/>
      <c r="B344" s="16"/>
      <c r="C344" s="16"/>
      <c r="D344" s="16"/>
      <c r="E344" s="16"/>
      <c r="F344" s="16"/>
      <c r="M344" s="23" t="s">
        <v>104</v>
      </c>
      <c r="N344" s="23" t="s">
        <v>139</v>
      </c>
      <c r="O344" s="23" t="s">
        <v>106</v>
      </c>
      <c r="P344" s="23" t="s">
        <v>107</v>
      </c>
      <c r="Q344" s="8" t="s">
        <v>114</v>
      </c>
      <c r="R344" s="8" t="s">
        <v>104</v>
      </c>
      <c r="S344" s="8" t="s">
        <v>118</v>
      </c>
      <c r="T344" s="8" t="s">
        <v>121</v>
      </c>
      <c r="U344" s="8" t="s">
        <v>125</v>
      </c>
      <c r="V344" s="8" t="s">
        <v>126</v>
      </c>
      <c r="W344" s="8" t="s">
        <v>104</v>
      </c>
      <c r="X344" s="8" t="s">
        <v>139</v>
      </c>
      <c r="Y344" s="8" t="s">
        <v>67</v>
      </c>
      <c r="Z344" s="8" t="s">
        <v>68</v>
      </c>
      <c r="AA344" s="8" t="s">
        <v>69</v>
      </c>
      <c r="AB344" s="8" t="s">
        <v>74</v>
      </c>
      <c r="AC344" s="8" t="s">
        <v>73</v>
      </c>
      <c r="AD344" s="8" t="s">
        <v>70</v>
      </c>
      <c r="AE344" s="24" t="s">
        <v>75</v>
      </c>
      <c r="AF344" s="8" t="s">
        <v>71</v>
      </c>
      <c r="AG344" s="8" t="s">
        <v>72</v>
      </c>
      <c r="AH344" s="25" t="s">
        <v>76</v>
      </c>
      <c r="AI344" s="25" t="s">
        <v>77</v>
      </c>
      <c r="AJ344" s="24" t="s">
        <v>78</v>
      </c>
      <c r="AK344" s="24" t="s">
        <v>79</v>
      </c>
      <c r="AL344" s="9"/>
    </row>
    <row r="345" spans="1:38" s="8" customFormat="1" ht="12.75">
      <c r="A345" s="16" t="s">
        <v>19</v>
      </c>
      <c r="B345" s="26">
        <v>23</v>
      </c>
      <c r="C345" s="27">
        <v>2.2</v>
      </c>
      <c r="D345" s="18" t="s">
        <v>165</v>
      </c>
      <c r="E345" s="11">
        <f>TRUNC(W348)</f>
        <v>222</v>
      </c>
      <c r="F345" s="12">
        <f>ABS(W348-E345)*60</f>
        <v>53.40721054439712</v>
      </c>
      <c r="M345" s="23">
        <v>9</v>
      </c>
      <c r="N345" s="23">
        <v>-43</v>
      </c>
      <c r="O345" s="23">
        <v>-0.02321</v>
      </c>
      <c r="P345" s="23">
        <v>0.01428</v>
      </c>
      <c r="Q345" s="8">
        <f>COS(P348)*SIN(O348+$B$381)</f>
        <v>0.49461284135406985</v>
      </c>
      <c r="R345" s="8">
        <f>DEGREES(ATAN2(Q346,Q345))+$C$381</f>
        <v>137.10033566859397</v>
      </c>
      <c r="S345" s="8">
        <f>RADIANS(R346)</f>
        <v>2.392852263006386</v>
      </c>
      <c r="T345" s="8">
        <f>(COS($D$373)+SIN($D$373)*SIN(S345)*TAN(S348))*$A$370-COS(S345)*TAN(S348)*$A$373</f>
        <v>5.60077392832903E-05</v>
      </c>
      <c r="U345" s="8">
        <f>COS(S345)*COS($D$394)*COS($D$373)+SIN(S345)*SIN($D$394)</f>
        <v>0.8155666665037392</v>
      </c>
      <c r="V345" s="8">
        <f>COS($D$394)*COS($D$373)*(TAN($D$373)*COS(S348)-SIN(S345)*SIN(S348))+COS(S345)*SIN(S348)*SIN($D$394)</f>
        <v>0.3277303864478449</v>
      </c>
      <c r="W345" s="8">
        <f>DEGREES(U348+T345+S345)</f>
        <v>137.10987982426005</v>
      </c>
      <c r="X345" s="8">
        <f>DEGREES(V348+T348+S348)</f>
        <v>-43.47670060724728</v>
      </c>
      <c r="Y345" s="28">
        <f>V348+T348+S348</f>
        <v>-0.758811573500283</v>
      </c>
      <c r="Z345" s="8">
        <f>RADIANS(A347)</f>
        <v>2.507799218195065</v>
      </c>
      <c r="AA345" s="8">
        <f>Z345+$K$2</f>
        <v>0.41340411580186975</v>
      </c>
      <c r="AB345" s="8">
        <f>DEGREES(AA345)</f>
        <v>23.686311068784683</v>
      </c>
      <c r="AC345" s="8">
        <f>AB345-INT(AB345/360)*360</f>
        <v>23.686311068784683</v>
      </c>
      <c r="AD345" s="28">
        <f>SIN(Y345)*SIN($J$2)+COS(Y345)*COS($J$2)*COS(AA345)</f>
        <v>0.9195245263055001</v>
      </c>
      <c r="AE345" s="28">
        <f>ASIN(AD345)</f>
        <v>1.166869011771431</v>
      </c>
      <c r="AF345" s="28">
        <f>(SIN(Y345)-SIN($J$2)*AD345)/(COS($J$2)*COS(AE345))</f>
        <v>-0.6707203826604117</v>
      </c>
      <c r="AG345" s="8">
        <f>DEGREES(ACOS(AF345))</f>
        <v>132.12268865307587</v>
      </c>
      <c r="AH345" s="8">
        <f>IF(AC345&gt;180,AG345,360-AG345)</f>
        <v>227.87731134692413</v>
      </c>
      <c r="AI345" s="8">
        <f>DEGREES(AE345)</f>
        <v>66.85666961910418</v>
      </c>
      <c r="AJ345" s="28">
        <f>$C$5-AI345</f>
        <v>-2.952437512249162E-06</v>
      </c>
      <c r="AK345" s="29">
        <f>$D$5-AH345</f>
        <v>0.022688653075874754</v>
      </c>
      <c r="AL345" s="9">
        <f>AJ345*AJ345+AK345*AK345</f>
        <v>0.0005147749871142882</v>
      </c>
    </row>
    <row r="346" spans="1:38" s="8" customFormat="1" ht="12.75">
      <c r="A346" s="16" t="s">
        <v>137</v>
      </c>
      <c r="B346" s="16" t="s">
        <v>138</v>
      </c>
      <c r="C346" s="16" t="s">
        <v>135</v>
      </c>
      <c r="D346" s="16" t="s">
        <v>139</v>
      </c>
      <c r="E346" s="16" t="s">
        <v>138</v>
      </c>
      <c r="F346" s="16" t="s">
        <v>135</v>
      </c>
      <c r="M346" s="23">
        <v>7</v>
      </c>
      <c r="N346" s="23">
        <v>-25</v>
      </c>
      <c r="O346" s="8" t="s">
        <v>110</v>
      </c>
      <c r="P346" s="8" t="s">
        <v>111</v>
      </c>
      <c r="Q346" s="8">
        <f>COS($F$381)*COS(P348)*COS(O348+$B$381)-SIN($F$381)*SIN(P348)</f>
        <v>-0.5309618402371976</v>
      </c>
      <c r="R346" s="8">
        <f>R345-360*INT(R345/360)</f>
        <v>137.10033566859397</v>
      </c>
      <c r="U346" s="8">
        <f>COS(S345)*COS($D$389)*COS($D$373)+SIN(S345)*SIN($D$389)</f>
        <v>-0.7938446586453094</v>
      </c>
      <c r="V346" s="8">
        <f>COS($D$389)*COS($D$373)*(TAN($D$373)*COS(S348)-SIN(S345)*SIN(S348))+COS(S345)*SIN(S348)*SIN($D$389)</f>
        <v>-0.36163832760413983</v>
      </c>
      <c r="AL346" s="9"/>
    </row>
    <row r="347" spans="1:38" s="8" customFormat="1" ht="12.75">
      <c r="A347" s="10">
        <f>($C$376+E345+F345/60)-INT(($C$376+E345+F345/60)/360)*360</f>
        <v>143.68631106878468</v>
      </c>
      <c r="B347" s="11">
        <f>TRUNC(A347)</f>
        <v>143</v>
      </c>
      <c r="C347" s="12">
        <f>(A347-B347)*60</f>
        <v>41.17866412708054</v>
      </c>
      <c r="D347" s="32" t="str">
        <f>IF(X345&gt;=0,"N","S")</f>
        <v>S</v>
      </c>
      <c r="E347" s="11">
        <f>ABS(TRUNC(X345))</f>
        <v>43</v>
      </c>
      <c r="F347" s="12">
        <f>ABS(X345-TRUNC(X345))*60</f>
        <v>28.60203643483686</v>
      </c>
      <c r="M347" s="30">
        <v>59.759</v>
      </c>
      <c r="N347" s="30">
        <v>-57.32</v>
      </c>
      <c r="O347" s="31">
        <f>M348+O345/3600*$A$367</f>
        <v>136.9989249094623</v>
      </c>
      <c r="P347" s="31">
        <f>N348+P345/3600*$A$367</f>
        <v>-43.43254525283208</v>
      </c>
      <c r="Q347" s="31">
        <f>SIN($F$381)*COS(P348)*COS(O348+$B$381)+COS($F$381)*SIN(P348)</f>
        <v>-0.6880680644962258</v>
      </c>
      <c r="R347" s="31" t="s">
        <v>139</v>
      </c>
      <c r="S347" s="20" t="s">
        <v>119</v>
      </c>
      <c r="T347" s="20" t="s">
        <v>122</v>
      </c>
      <c r="U347" s="20" t="s">
        <v>121</v>
      </c>
      <c r="V347" s="20" t="s">
        <v>122</v>
      </c>
      <c r="W347" s="20" t="s">
        <v>130</v>
      </c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9"/>
    </row>
    <row r="348" spans="1:38" s="8" customFormat="1" ht="12.75">
      <c r="A348" s="16"/>
      <c r="B348" s="16"/>
      <c r="C348" s="16"/>
      <c r="D348" s="16"/>
      <c r="E348" s="16"/>
      <c r="F348" s="16"/>
      <c r="M348" s="24">
        <f>(M345+M346/60+M347/3600)*15</f>
        <v>136.99899583333334</v>
      </c>
      <c r="N348" s="24">
        <f>N345+N346/60+N347/3600</f>
        <v>-43.43258888888889</v>
      </c>
      <c r="O348" s="8">
        <f>RADIANS(O347)</f>
        <v>2.391082311362591</v>
      </c>
      <c r="P348" s="8">
        <f>RADIANS(P347)</f>
        <v>-0.7580409171833528</v>
      </c>
      <c r="R348" s="8">
        <f>DEGREES(ASIN(Q347))</f>
        <v>-43.47737332874016</v>
      </c>
      <c r="S348" s="8">
        <f>RADIANS(R348)</f>
        <v>-0.7588233147052827</v>
      </c>
      <c r="T348" s="8">
        <f>SIN($D$373)*COS(S345)*$A$370+SIN(S345)*$A$373</f>
        <v>-2.473698347019465E-05</v>
      </c>
      <c r="U348" s="22">
        <f>($A$394*U345-U346)*$V$18/COS(S348)</f>
        <v>0.00011056920141302687</v>
      </c>
      <c r="V348" s="22">
        <f>($A$394*V345-V346)*$V$18</f>
        <v>3.647818846985122E-05</v>
      </c>
      <c r="W348" s="8">
        <f>360-W345</f>
        <v>222.89012017573995</v>
      </c>
      <c r="AL348" s="9"/>
    </row>
    <row r="349" spans="1:38" s="8" customFormat="1" ht="12.75">
      <c r="A349" s="16" t="s">
        <v>140</v>
      </c>
      <c r="B349" s="16" t="s">
        <v>140</v>
      </c>
      <c r="C349" s="16" t="s">
        <v>140</v>
      </c>
      <c r="D349" s="16" t="s">
        <v>140</v>
      </c>
      <c r="E349" s="16" t="s">
        <v>140</v>
      </c>
      <c r="F349" s="16" t="s">
        <v>140</v>
      </c>
      <c r="M349" s="16" t="s">
        <v>140</v>
      </c>
      <c r="N349" s="16" t="s">
        <v>20</v>
      </c>
      <c r="O349" s="16" t="s">
        <v>140</v>
      </c>
      <c r="P349" s="16" t="s">
        <v>140</v>
      </c>
      <c r="Q349" s="16" t="s">
        <v>140</v>
      </c>
      <c r="R349" s="16" t="s">
        <v>140</v>
      </c>
      <c r="S349" s="16" t="s">
        <v>140</v>
      </c>
      <c r="T349" s="16" t="s">
        <v>20</v>
      </c>
      <c r="U349" s="16" t="s">
        <v>140</v>
      </c>
      <c r="V349" s="16" t="s">
        <v>140</v>
      </c>
      <c r="W349" s="16" t="s">
        <v>140</v>
      </c>
      <c r="X349" s="16" t="s">
        <v>140</v>
      </c>
      <c r="Y349" s="16" t="s">
        <v>140</v>
      </c>
      <c r="Z349" s="16" t="s">
        <v>20</v>
      </c>
      <c r="AA349" s="16" t="s">
        <v>140</v>
      </c>
      <c r="AB349" s="16" t="s">
        <v>140</v>
      </c>
      <c r="AC349" s="16" t="s">
        <v>140</v>
      </c>
      <c r="AD349" s="16" t="s">
        <v>140</v>
      </c>
      <c r="AE349" s="16" t="s">
        <v>140</v>
      </c>
      <c r="AF349" s="16" t="s">
        <v>20</v>
      </c>
      <c r="AG349" s="16" t="s">
        <v>140</v>
      </c>
      <c r="AH349" s="16" t="s">
        <v>140</v>
      </c>
      <c r="AI349" s="16" t="s">
        <v>140</v>
      </c>
      <c r="AJ349" s="16" t="s">
        <v>140</v>
      </c>
      <c r="AK349" s="16" t="s">
        <v>140</v>
      </c>
      <c r="AL349" s="9"/>
    </row>
    <row r="350" spans="1:38" s="8" customFormat="1" ht="12.75">
      <c r="A350" s="16"/>
      <c r="B350" s="16"/>
      <c r="C350" s="16"/>
      <c r="D350" s="16"/>
      <c r="E350" s="16"/>
      <c r="F350" s="16"/>
      <c r="M350" s="23" t="s">
        <v>104</v>
      </c>
      <c r="N350" s="23" t="s">
        <v>139</v>
      </c>
      <c r="O350" s="23" t="s">
        <v>106</v>
      </c>
      <c r="P350" s="23" t="s">
        <v>107</v>
      </c>
      <c r="Q350" s="8" t="s">
        <v>114</v>
      </c>
      <c r="R350" s="8" t="s">
        <v>104</v>
      </c>
      <c r="S350" s="8" t="s">
        <v>118</v>
      </c>
      <c r="T350" s="8" t="s">
        <v>121</v>
      </c>
      <c r="U350" s="8" t="s">
        <v>125</v>
      </c>
      <c r="V350" s="8" t="s">
        <v>126</v>
      </c>
      <c r="W350" s="8" t="s">
        <v>104</v>
      </c>
      <c r="X350" s="8" t="s">
        <v>139</v>
      </c>
      <c r="Y350" s="8" t="s">
        <v>67</v>
      </c>
      <c r="Z350" s="8" t="s">
        <v>68</v>
      </c>
      <c r="AA350" s="8" t="s">
        <v>69</v>
      </c>
      <c r="AB350" s="8" t="s">
        <v>74</v>
      </c>
      <c r="AC350" s="8" t="s">
        <v>73</v>
      </c>
      <c r="AD350" s="8" t="s">
        <v>70</v>
      </c>
      <c r="AE350" s="24" t="s">
        <v>75</v>
      </c>
      <c r="AF350" s="8" t="s">
        <v>71</v>
      </c>
      <c r="AG350" s="8" t="s">
        <v>72</v>
      </c>
      <c r="AH350" s="25" t="s">
        <v>76</v>
      </c>
      <c r="AI350" s="25" t="s">
        <v>77</v>
      </c>
      <c r="AJ350" s="24" t="s">
        <v>78</v>
      </c>
      <c r="AK350" s="24" t="s">
        <v>79</v>
      </c>
      <c r="AL350" s="9"/>
    </row>
    <row r="351" spans="1:38" s="8" customFormat="1" ht="12.75">
      <c r="A351" s="16" t="s">
        <v>20</v>
      </c>
      <c r="B351" s="26">
        <v>49</v>
      </c>
      <c r="C351" s="27">
        <v>0</v>
      </c>
      <c r="D351" s="18" t="s">
        <v>165</v>
      </c>
      <c r="E351" s="11">
        <f>TRUNC(W354)</f>
        <v>80</v>
      </c>
      <c r="F351" s="12">
        <f>ABS(W354-E351)*60</f>
        <v>40.60607605388441</v>
      </c>
      <c r="M351" s="23">
        <v>18</v>
      </c>
      <c r="N351" s="23">
        <v>38</v>
      </c>
      <c r="O351" s="23">
        <v>0.20103</v>
      </c>
      <c r="P351" s="23">
        <v>0.28747</v>
      </c>
      <c r="Q351" s="8">
        <f>COS(P354)*SIN(O354+$B$381)</f>
        <v>-0.7692478240436575</v>
      </c>
      <c r="R351" s="8">
        <f>DEGREES(ATAN2(Q352,Q351))+$C$381</f>
        <v>-80.67228281806565</v>
      </c>
      <c r="S351" s="8">
        <f>RADIANS(R352)</f>
        <v>4.8751883569042915</v>
      </c>
      <c r="T351" s="8">
        <f>(COS($D$373)+SIN($D$373)*SIN(S351)*TAN(S354))*$A$370-COS(S351)*TAN(S354)*$A$373</f>
        <v>5.097313440255806E-05</v>
      </c>
      <c r="U351" s="8">
        <f>COS(S351)*COS($D$394)*COS($D$373)+SIN(S351)*SIN($D$394)</f>
        <v>-0.9947658354136476</v>
      </c>
      <c r="V351" s="8">
        <f>COS($D$394)*COS($D$373)*(TAN($D$373)*COS(S354)-SIN(S351)*SIN(S354))+COS(S351)*SIN(S354)*SIN($D$394)</f>
        <v>-0.10032844544823258</v>
      </c>
      <c r="W351" s="8">
        <f>DEGREES(U354+T351+S351)</f>
        <v>279.3232320657686</v>
      </c>
      <c r="X351" s="8">
        <f>DEGREES(V354+T354+S354)</f>
        <v>38.79439630260735</v>
      </c>
      <c r="Y351" s="28">
        <f>V354+T354+S354</f>
        <v>0.6770899468040127</v>
      </c>
      <c r="Z351" s="8">
        <f>RADIANS(A353)</f>
        <v>0.025707981282282442</v>
      </c>
      <c r="AA351" s="8">
        <f>Z351+$K$2</f>
        <v>-2.068687121110913</v>
      </c>
      <c r="AB351" s="8">
        <f>DEGREES(AA351)</f>
        <v>-118.5270411727239</v>
      </c>
      <c r="AC351" s="8">
        <f>AB351-INT(AB351/360)*360</f>
        <v>241.4729588272761</v>
      </c>
      <c r="AD351" s="28">
        <f>SIN(Y351)*SIN($J$2)+COS(Y351)*COS($J$2)*COS(AA351)</f>
        <v>-0.6356161182251876</v>
      </c>
      <c r="AE351" s="28">
        <f>ASIN(AD351)</f>
        <v>-0.6888063332378697</v>
      </c>
      <c r="AF351" s="28">
        <f>(SIN(Y351)-SIN($J$2)*AD351)/(COS($J$2)*COS(AE351))</f>
        <v>0.46175669349807513</v>
      </c>
      <c r="AG351" s="8">
        <f>DEGREES(ACOS(AF351))</f>
        <v>62.49947806041366</v>
      </c>
      <c r="AH351" s="8">
        <f>IF(AC351&gt;180,AG351,360-AG351)</f>
        <v>62.49947806041366</v>
      </c>
      <c r="AI351" s="8">
        <f>DEGREES(AE351)</f>
        <v>-39.46569579641169</v>
      </c>
      <c r="AJ351" s="28">
        <f>$C$5-AI351</f>
        <v>106.32236246307835</v>
      </c>
      <c r="AK351" s="29">
        <f>$D$5-AH351</f>
        <v>165.40052193958635</v>
      </c>
      <c r="AL351" s="9">
        <f>AJ351*AJ351+AK351*AK351</f>
        <v>38661.7774176178</v>
      </c>
    </row>
    <row r="352" spans="1:38" s="8" customFormat="1" ht="12.75">
      <c r="A352" s="16" t="s">
        <v>137</v>
      </c>
      <c r="B352" s="16" t="s">
        <v>138</v>
      </c>
      <c r="C352" s="16" t="s">
        <v>135</v>
      </c>
      <c r="D352" s="16" t="s">
        <v>139</v>
      </c>
      <c r="E352" s="16" t="s">
        <v>138</v>
      </c>
      <c r="F352" s="16" t="s">
        <v>135</v>
      </c>
      <c r="M352" s="23">
        <v>36</v>
      </c>
      <c r="N352" s="23">
        <v>47</v>
      </c>
      <c r="O352" s="8" t="s">
        <v>110</v>
      </c>
      <c r="P352" s="8" t="s">
        <v>111</v>
      </c>
      <c r="Q352" s="8">
        <f>COS($F$381)*COS(P354)*COS(O354+$B$381)-SIN($F$381)*SIN(P354)</f>
        <v>0.12537976556263555</v>
      </c>
      <c r="R352" s="8">
        <f>R351-360*INT(R351/360)</f>
        <v>279.32771718193436</v>
      </c>
      <c r="U352" s="8">
        <f>COS(S351)*COS($D$389)*COS($D$373)+SIN(S351)*SIN($D$389)</f>
        <v>0.9972179793622413</v>
      </c>
      <c r="V352" s="8">
        <f>COS($D$389)*COS($D$373)*(TAN($D$373)*COS(S354)-SIN(S351)*SIN(S354))+COS(S351)*SIN(S354)*SIN($D$389)</f>
        <v>0.06338262542538188</v>
      </c>
      <c r="AL352" s="9"/>
    </row>
    <row r="353" spans="1:38" s="8" customFormat="1" ht="12.75">
      <c r="A353" s="10">
        <f>($C$376+E351+F351/60)-INT(($C$376+E351+F351/60)/360)*360</f>
        <v>1.472958827276102</v>
      </c>
      <c r="B353" s="11">
        <f>TRUNC(A353)</f>
        <v>1</v>
      </c>
      <c r="C353" s="12">
        <f>(A353-B353)*60</f>
        <v>28.377529636566123</v>
      </c>
      <c r="D353" s="32" t="str">
        <f>IF(X351&gt;=0,"N","S")</f>
        <v>N</v>
      </c>
      <c r="E353" s="11">
        <f>ABS(TRUNC(X351))</f>
        <v>38</v>
      </c>
      <c r="F353" s="12">
        <f>ABS(X351-TRUNC(X351))*60</f>
        <v>47.6637781564412</v>
      </c>
      <c r="M353" s="30">
        <v>56.336</v>
      </c>
      <c r="N353" s="30">
        <v>1.29</v>
      </c>
      <c r="O353" s="31">
        <f>M354+O351/3600*$A$367</f>
        <v>279.2353476300071</v>
      </c>
      <c r="P353" s="31">
        <f>N354+P351/3600*$A$367</f>
        <v>38.784570102048406</v>
      </c>
      <c r="Q353" s="31">
        <f>SIN($F$381)*COS(P354)*COS(O354+$B$381)+COS($F$381)*SIN(P354)</f>
        <v>0.6265282911342125</v>
      </c>
      <c r="R353" s="31" t="s">
        <v>139</v>
      </c>
      <c r="S353" s="20" t="s">
        <v>119</v>
      </c>
      <c r="T353" s="20" t="s">
        <v>122</v>
      </c>
      <c r="U353" s="20" t="s">
        <v>121</v>
      </c>
      <c r="V353" s="20" t="s">
        <v>122</v>
      </c>
      <c r="W353" s="20" t="s">
        <v>130</v>
      </c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9"/>
    </row>
    <row r="354" spans="1:38" s="8" customFormat="1" ht="12.75">
      <c r="A354" s="16"/>
      <c r="B354" s="16"/>
      <c r="C354" s="16"/>
      <c r="D354" s="16"/>
      <c r="E354" s="16"/>
      <c r="F354" s="16"/>
      <c r="M354" s="24">
        <f>(M351+M352/60+M353/3600)*15</f>
        <v>279.2347333333334</v>
      </c>
      <c r="N354" s="24">
        <f>N351+N352/60+N353/3600</f>
        <v>38.78369166666666</v>
      </c>
      <c r="O354" s="8">
        <f>RADIANS(O353)</f>
        <v>4.873576204094569</v>
      </c>
      <c r="P354" s="8">
        <f>RADIANS(P353)</f>
        <v>0.6769184472512978</v>
      </c>
      <c r="R354" s="8">
        <f>DEGREES(ASIN(Q353))</f>
        <v>38.794448080148406</v>
      </c>
      <c r="S354" s="8">
        <f>RADIANS(R354)</f>
        <v>0.6770908504925827</v>
      </c>
      <c r="T354" s="8">
        <f>SIN($D$373)*COS(S351)*$A$370+SIN(S351)*$A$373</f>
        <v>5.560856062024112E-06</v>
      </c>
      <c r="U354" s="22">
        <f>($A$394*U351-U352)*$V$18/COS(S354)</f>
        <v>-0.00012925317882919997</v>
      </c>
      <c r="V354" s="22">
        <f>($A$394*V351-V352)*$V$18</f>
        <v>-6.464544631981285E-06</v>
      </c>
      <c r="W354" s="8">
        <f>360-W351</f>
        <v>80.6767679342314</v>
      </c>
      <c r="AL354" s="9"/>
    </row>
    <row r="355" spans="1:38" s="8" customFormat="1" ht="12.75">
      <c r="A355" s="16" t="s">
        <v>140</v>
      </c>
      <c r="B355" s="16" t="s">
        <v>140</v>
      </c>
      <c r="C355" s="16" t="s">
        <v>140</v>
      </c>
      <c r="D355" s="16" t="s">
        <v>140</v>
      </c>
      <c r="E355" s="16" t="s">
        <v>140</v>
      </c>
      <c r="F355" s="16" t="s">
        <v>140</v>
      </c>
      <c r="M355" s="16" t="s">
        <v>140</v>
      </c>
      <c r="N355" s="16" t="s">
        <v>21</v>
      </c>
      <c r="O355" s="16" t="s">
        <v>140</v>
      </c>
      <c r="P355" s="16" t="s">
        <v>140</v>
      </c>
      <c r="Q355" s="16" t="s">
        <v>140</v>
      </c>
      <c r="R355" s="16" t="s">
        <v>140</v>
      </c>
      <c r="S355" s="16" t="s">
        <v>140</v>
      </c>
      <c r="T355" s="16" t="s">
        <v>21</v>
      </c>
      <c r="U355" s="16" t="s">
        <v>140</v>
      </c>
      <c r="V355" s="16" t="s">
        <v>140</v>
      </c>
      <c r="W355" s="16" t="s">
        <v>140</v>
      </c>
      <c r="X355" s="16" t="s">
        <v>140</v>
      </c>
      <c r="Y355" s="16" t="s">
        <v>140</v>
      </c>
      <c r="Z355" s="16" t="s">
        <v>21</v>
      </c>
      <c r="AA355" s="16" t="s">
        <v>140</v>
      </c>
      <c r="AB355" s="16" t="s">
        <v>140</v>
      </c>
      <c r="AC355" s="16" t="s">
        <v>140</v>
      </c>
      <c r="AD355" s="16" t="s">
        <v>140</v>
      </c>
      <c r="AE355" s="16" t="s">
        <v>140</v>
      </c>
      <c r="AF355" s="16" t="s">
        <v>21</v>
      </c>
      <c r="AG355" s="16" t="s">
        <v>140</v>
      </c>
      <c r="AH355" s="16" t="s">
        <v>140</v>
      </c>
      <c r="AI355" s="16" t="s">
        <v>140</v>
      </c>
      <c r="AJ355" s="16" t="s">
        <v>140</v>
      </c>
      <c r="AK355" s="16" t="s">
        <v>140</v>
      </c>
      <c r="AL355" s="9"/>
    </row>
    <row r="356" spans="1:38" s="8" customFormat="1" ht="12.75">
      <c r="A356" s="16"/>
      <c r="B356" s="16"/>
      <c r="C356" s="16"/>
      <c r="D356" s="16"/>
      <c r="E356" s="16"/>
      <c r="F356" s="16"/>
      <c r="M356" s="23" t="s">
        <v>104</v>
      </c>
      <c r="N356" s="23" t="s">
        <v>139</v>
      </c>
      <c r="O356" s="23" t="s">
        <v>106</v>
      </c>
      <c r="P356" s="23" t="s">
        <v>107</v>
      </c>
      <c r="Q356" s="8" t="s">
        <v>114</v>
      </c>
      <c r="R356" s="8" t="s">
        <v>104</v>
      </c>
      <c r="S356" s="8" t="s">
        <v>118</v>
      </c>
      <c r="T356" s="8" t="s">
        <v>121</v>
      </c>
      <c r="U356" s="8" t="s">
        <v>125</v>
      </c>
      <c r="V356" s="8" t="s">
        <v>126</v>
      </c>
      <c r="W356" s="8" t="s">
        <v>104</v>
      </c>
      <c r="X356" s="8" t="s">
        <v>139</v>
      </c>
      <c r="Y356" s="8" t="s">
        <v>67</v>
      </c>
      <c r="Z356" s="8" t="s">
        <v>68</v>
      </c>
      <c r="AA356" s="8" t="s">
        <v>69</v>
      </c>
      <c r="AB356" s="8" t="s">
        <v>74</v>
      </c>
      <c r="AC356" s="8" t="s">
        <v>73</v>
      </c>
      <c r="AD356" s="8" t="s">
        <v>70</v>
      </c>
      <c r="AE356" s="24" t="s">
        <v>75</v>
      </c>
      <c r="AF356" s="8" t="s">
        <v>71</v>
      </c>
      <c r="AG356" s="8" t="s">
        <v>72</v>
      </c>
      <c r="AH356" s="25" t="s">
        <v>76</v>
      </c>
      <c r="AI356" s="25" t="s">
        <v>77</v>
      </c>
      <c r="AJ356" s="24" t="s">
        <v>78</v>
      </c>
      <c r="AK356" s="24" t="s">
        <v>79</v>
      </c>
      <c r="AL356" s="9"/>
    </row>
    <row r="357" spans="1:38" s="8" customFormat="1" ht="12.75">
      <c r="A357" s="16" t="s">
        <v>21</v>
      </c>
      <c r="B357" s="26">
        <v>39</v>
      </c>
      <c r="C357" s="27">
        <v>2.8</v>
      </c>
      <c r="D357" s="18" t="s">
        <v>165</v>
      </c>
      <c r="E357" s="11">
        <f>TRUNC(W360)</f>
        <v>137</v>
      </c>
      <c r="F357" s="12">
        <f>ABS(W360-E357)*60</f>
        <v>7.750059707076389</v>
      </c>
      <c r="M357" s="23">
        <v>14</v>
      </c>
      <c r="N357" s="23">
        <v>-16</v>
      </c>
      <c r="O357" s="23">
        <v>-0.106</v>
      </c>
      <c r="P357" s="23">
        <v>0.067</v>
      </c>
      <c r="Q357" s="8">
        <f>COS(P360)*SIN(O360+$B$381)</f>
        <v>-0.6528229270842213</v>
      </c>
      <c r="R357" s="8">
        <f>DEGREES(ATAN2(Q358,Q357))+$C$381</f>
        <v>-137.13072734466158</v>
      </c>
      <c r="S357" s="8">
        <f>RADIANS(R358)</f>
        <v>3.889802609360621</v>
      </c>
      <c r="T357" s="8">
        <f>(COS($D$373)+SIN($D$373)*SIN(S357)*TAN(S360))*$A$370-COS(S357)*TAN(S360)*$A$373</f>
        <v>8.429660081553476E-05</v>
      </c>
      <c r="U357" s="8">
        <f>COS(S357)*COS($D$394)*COS($D$373)+SIN(S357)*SIN($D$394)</f>
        <v>-0.509839882167952</v>
      </c>
      <c r="V357" s="8">
        <f>COS($D$394)*COS($D$373)*(TAN($D$373)*COS(S360)-SIN(S357)*SIN(S360))+COS(S357)*SIN(S360)*SIN($D$394)</f>
        <v>0.15025761859505954</v>
      </c>
      <c r="W357" s="8">
        <f>DEGREES(U360+T357+S357)</f>
        <v>222.8708323382154</v>
      </c>
      <c r="X357" s="8">
        <f>DEGREES(V360+T360+S360)</f>
        <v>-16.086885702437353</v>
      </c>
      <c r="Y357" s="28">
        <f>V360+T360+S360</f>
        <v>-0.2807691218995326</v>
      </c>
      <c r="Z357" s="8">
        <f>RADIANS(A359)</f>
        <v>1.0109882271800357</v>
      </c>
      <c r="AA357" s="8">
        <f>Z357+$K$2</f>
        <v>-1.0834068752131596</v>
      </c>
      <c r="AB357" s="8">
        <f>DEGREES(AA357)</f>
        <v>-62.074641445170684</v>
      </c>
      <c r="AC357" s="8">
        <f>AB357-INT(AB357/360)*360</f>
        <v>297.9253585548293</v>
      </c>
      <c r="AD357" s="28">
        <f>SIN(Y357)*SIN($J$2)+COS(Y357)*COS($J$2)*COS(AA357)</f>
        <v>0.5282438055140906</v>
      </c>
      <c r="AE357" s="28">
        <f>ASIN(AD357)</f>
        <v>0.5565309126269905</v>
      </c>
      <c r="AF357" s="28">
        <f>(SIN(Y357)-SIN($J$2)*AD357)/(COS($J$2)*COS(AE357))</f>
        <v>-0.01764205048604937</v>
      </c>
      <c r="AG357" s="8">
        <f>DEGREES(ACOS(AF357))</f>
        <v>91.01086747682562</v>
      </c>
      <c r="AH357" s="8">
        <f>IF(AC357&gt;180,AG357,360-AG357)</f>
        <v>91.01086747682562</v>
      </c>
      <c r="AI357" s="8">
        <f>DEGREES(AE357)</f>
        <v>31.88687246209053</v>
      </c>
      <c r="AJ357" s="28">
        <f>$C$5-AI357</f>
        <v>34.96979420457614</v>
      </c>
      <c r="AK357" s="29">
        <f>$D$5-AH357</f>
        <v>136.8891325231744</v>
      </c>
      <c r="AL357" s="9">
        <f>AJ357*AJ357+AK357*AK357</f>
        <v>19961.52110965761</v>
      </c>
    </row>
    <row r="358" spans="1:38" s="8" customFormat="1" ht="12.75">
      <c r="A358" s="16" t="s">
        <v>137</v>
      </c>
      <c r="B358" s="16" t="s">
        <v>138</v>
      </c>
      <c r="C358" s="16" t="s">
        <v>135</v>
      </c>
      <c r="D358" s="16" t="s">
        <v>139</v>
      </c>
      <c r="E358" s="16" t="s">
        <v>138</v>
      </c>
      <c r="F358" s="16" t="s">
        <v>135</v>
      </c>
      <c r="M358" s="23">
        <v>50</v>
      </c>
      <c r="N358" s="23">
        <v>-2</v>
      </c>
      <c r="O358" s="8" t="s">
        <v>110</v>
      </c>
      <c r="P358" s="8" t="s">
        <v>111</v>
      </c>
      <c r="Q358" s="8">
        <f>COS($F$381)*COS(P360)*COS(O360+$B$381)-SIN($F$381)*SIN(P360)</f>
        <v>-0.7050143293676435</v>
      </c>
      <c r="R358" s="8">
        <f>R357-360*INT(R357/360)</f>
        <v>222.86927265533842</v>
      </c>
      <c r="U358" s="8">
        <f>COS(S357)*COS($D$389)*COS($D$373)+SIN(S357)*SIN($D$389)</f>
        <v>0.5433900040572124</v>
      </c>
      <c r="V358" s="8">
        <f>COS($D$389)*COS($D$373)*(TAN($D$373)*COS(S360)-SIN(S357)*SIN(S360))+COS(S357)*SIN(S360)*SIN($D$389)</f>
        <v>-0.1606218383665048</v>
      </c>
      <c r="AL358" s="9"/>
    </row>
    <row r="359" spans="1:38" s="8" customFormat="1" ht="12.75">
      <c r="A359" s="10">
        <f>($C$376+E357+F357/60)-INT(($C$376+E357+F357/60)/360)*360</f>
        <v>57.9253585548293</v>
      </c>
      <c r="B359" s="11">
        <f>TRUNC(A359)</f>
        <v>57</v>
      </c>
      <c r="C359" s="12">
        <f>(A359-B359)*60</f>
        <v>55.521513289758104</v>
      </c>
      <c r="D359" s="32" t="str">
        <f>IF(X357&gt;=0,"N","S")</f>
        <v>S</v>
      </c>
      <c r="E359" s="11">
        <f>ABS(TRUNC(X357))</f>
        <v>16</v>
      </c>
      <c r="F359" s="12">
        <f>ABS(X357-TRUNC(X357))*60</f>
        <v>5.213142146241196</v>
      </c>
      <c r="M359" s="30">
        <v>52</v>
      </c>
      <c r="N359" s="30">
        <v>-30</v>
      </c>
      <c r="O359" s="31">
        <f>M360+O357/3600*$A$367</f>
        <v>222.71634275756153</v>
      </c>
      <c r="P359" s="31">
        <f>N360+P357/3600*$A$367</f>
        <v>-16.041461931666227</v>
      </c>
      <c r="Q359" s="31">
        <f>SIN($F$381)*COS(P360)*COS(O360+$B$381)+COS($F$381)*SIN(P360)</f>
        <v>-0.2770866674155964</v>
      </c>
      <c r="R359" s="31" t="s">
        <v>139</v>
      </c>
      <c r="S359" s="20" t="s">
        <v>119</v>
      </c>
      <c r="T359" s="20" t="s">
        <v>122</v>
      </c>
      <c r="U359" s="20" t="s">
        <v>121</v>
      </c>
      <c r="V359" s="20" t="s">
        <v>122</v>
      </c>
      <c r="W359" s="20" t="s">
        <v>130</v>
      </c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9"/>
    </row>
    <row r="360" spans="1:38" s="8" customFormat="1" ht="12.75">
      <c r="A360" s="16"/>
      <c r="B360" s="16"/>
      <c r="C360" s="16"/>
      <c r="D360" s="16"/>
      <c r="E360" s="16"/>
      <c r="F360" s="16"/>
      <c r="M360" s="24">
        <f>(M357+M358/60+M359/3600)*15</f>
        <v>222.7166666666667</v>
      </c>
      <c r="N360" s="24">
        <f>N357+N358/60+N359/3600</f>
        <v>-16.041666666666668</v>
      </c>
      <c r="O360" s="8">
        <f>RADIANS(O359)</f>
        <v>3.887133479119676</v>
      </c>
      <c r="P360" s="8">
        <f>RADIANS(P359)</f>
        <v>-0.2799763275409053</v>
      </c>
      <c r="R360" s="8">
        <f>DEGREES(ASIN(Q359))</f>
        <v>-16.086404594790174</v>
      </c>
      <c r="S360" s="8">
        <f>RADIANS(R360)</f>
        <v>-0.2807607249870328</v>
      </c>
      <c r="T360" s="8">
        <f>SIN($D$373)*COS(S357)*$A$370+SIN(S357)*$A$373</f>
        <v>-2.4606511989758892E-05</v>
      </c>
      <c r="U360" s="22">
        <f>($A$394*U357-U358)*$V$18/COS(S360)</f>
        <v>-5.707499932562253E-05</v>
      </c>
      <c r="V360" s="22">
        <f>($A$394*V357-V358)*$V$18</f>
        <v>1.620959948991348E-05</v>
      </c>
      <c r="W360" s="8">
        <f>360-W357</f>
        <v>137.1291676617846</v>
      </c>
      <c r="AL360" s="9"/>
    </row>
    <row r="361" spans="1:6" ht="12.75">
      <c r="A361" s="3" t="s">
        <v>140</v>
      </c>
      <c r="B361" s="3" t="s">
        <v>140</v>
      </c>
      <c r="C361" s="3" t="s">
        <v>140</v>
      </c>
      <c r="D361" s="3" t="s">
        <v>140</v>
      </c>
      <c r="E361" s="3" t="s">
        <v>140</v>
      </c>
      <c r="F361" s="3" t="s">
        <v>140</v>
      </c>
    </row>
    <row r="362" spans="1:6" ht="12.75">
      <c r="A362" s="3"/>
      <c r="B362" s="3"/>
      <c r="C362" s="3"/>
      <c r="D362" s="3"/>
      <c r="E362" s="3"/>
      <c r="F362" s="3"/>
    </row>
    <row r="363" spans="1:6" ht="12.75">
      <c r="A363" t="s">
        <v>141</v>
      </c>
      <c r="B363" t="s">
        <v>131</v>
      </c>
      <c r="C363" t="s">
        <v>132</v>
      </c>
      <c r="D363" t="s">
        <v>142</v>
      </c>
      <c r="E363" t="s">
        <v>143</v>
      </c>
      <c r="F363" s="4" t="s">
        <v>145</v>
      </c>
    </row>
    <row r="364" spans="1:6" ht="12.75">
      <c r="A364">
        <f>C2+(D2*3600+E2*60+F2)/86400</f>
        <v>1.5</v>
      </c>
      <c r="B364">
        <f>IF(B2&gt;2.5,A2,A2-1)</f>
        <v>2010</v>
      </c>
      <c r="C364">
        <f>IF(B2&gt;2.5,B2,B2+12)</f>
        <v>13</v>
      </c>
      <c r="D364">
        <f>INT(B364/100)</f>
        <v>20</v>
      </c>
      <c r="E364">
        <f>2-D364+INT(D364/4)</f>
        <v>-13</v>
      </c>
      <c r="F364">
        <f>INT(365.25*(B364+4716))+INT(30.6001*(C364+1))+A364+E364-1524.5</f>
        <v>2455563</v>
      </c>
    </row>
    <row r="366" spans="1:6" ht="12.75">
      <c r="A366" s="4" t="s">
        <v>59</v>
      </c>
      <c r="B366" s="4" t="s">
        <v>146</v>
      </c>
      <c r="C366" t="s">
        <v>147</v>
      </c>
      <c r="D366" s="4" t="s">
        <v>144</v>
      </c>
      <c r="E366" s="4" t="s">
        <v>148</v>
      </c>
      <c r="F366" s="4" t="s">
        <v>149</v>
      </c>
    </row>
    <row r="367" spans="1:6" ht="12.75">
      <c r="A367">
        <f>E367*1000</f>
        <v>11.000686590826874</v>
      </c>
      <c r="B367">
        <f>L13+L17+L21+L25+L29+L33+L37+L41+L45+L49+L53+L57+L61+L64</f>
        <v>67.15869570312503</v>
      </c>
      <c r="C367">
        <f>C2+(D2*3600+E2*60+(F2+B367))/86400</f>
        <v>1.500777299718786</v>
      </c>
      <c r="D367">
        <f>INT(365.25*(B364+4716))+INT(30.6001*(C364+1))+C367+E364-1524.5</f>
        <v>2455563.0007772995</v>
      </c>
      <c r="E367">
        <f>(D367-2451545)/365250</f>
        <v>0.011000686590826874</v>
      </c>
      <c r="F367">
        <f>10*E367</f>
        <v>0.11000686590826875</v>
      </c>
    </row>
    <row r="369" spans="1:6" ht="12.75">
      <c r="A369" s="4" t="s">
        <v>155</v>
      </c>
      <c r="B369" t="s">
        <v>150</v>
      </c>
      <c r="C369" t="s">
        <v>151</v>
      </c>
      <c r="D369" t="s">
        <v>152</v>
      </c>
      <c r="E369" t="s">
        <v>153</v>
      </c>
      <c r="F369" s="4" t="s">
        <v>154</v>
      </c>
    </row>
    <row r="370" spans="1:6" ht="12.75">
      <c r="A370">
        <f>RADIANS(F370)</f>
        <v>8.465301281132121E-05</v>
      </c>
      <c r="B370">
        <f>RADIANS(280.4665+36000.7698*F367)</f>
        <v>74.01589422506682</v>
      </c>
      <c r="C370">
        <f>RADIANS(218.3165+481267.8813*F367)</f>
        <v>927.8360157747301</v>
      </c>
      <c r="D370">
        <f>RADIANS(125.04452-1934.136261*F367)</f>
        <v>-1.5310682402377884</v>
      </c>
      <c r="E370">
        <f>-17.2*SIN(D370)-1.32*SIN(2*B370)-0.23*SIN(2*C370)+0.21*SIN(2*D370)</f>
        <v>17.460937285760135</v>
      </c>
      <c r="F370">
        <f>E370/3600</f>
        <v>0.004850260357155593</v>
      </c>
    </row>
    <row r="372" spans="1:6" ht="12.75">
      <c r="A372" s="4" t="s">
        <v>123</v>
      </c>
      <c r="B372" t="s">
        <v>160</v>
      </c>
      <c r="C372" t="s">
        <v>158</v>
      </c>
      <c r="D372" s="4" t="s">
        <v>159</v>
      </c>
      <c r="E372" t="s">
        <v>156</v>
      </c>
      <c r="F372" s="4" t="s">
        <v>157</v>
      </c>
    </row>
    <row r="373" spans="1:6" ht="12.75">
      <c r="A373">
        <f>RADIANS(F373)</f>
        <v>-1.0479144852787575E-07</v>
      </c>
      <c r="B373">
        <f>F367*(-46.815+F367*(-0.00059+0.001813*F367))</f>
        <v>-5.149976153831937</v>
      </c>
      <c r="C373">
        <f>RADIANS(23.4392911+B373/3600)</f>
        <v>0.40906783623943577</v>
      </c>
      <c r="D373">
        <f>C373+A373</f>
        <v>0.40906773144798725</v>
      </c>
      <c r="E373">
        <f>9.2*COS(D370)+0.57*COS(2*B370)-0.1*COS(2*C370)-0.09*COS(2*D370)</f>
        <v>-0.021614787826954862</v>
      </c>
      <c r="F373">
        <f>E373/3600</f>
        <v>-6.004107729709684E-06</v>
      </c>
    </row>
    <row r="375" spans="1:3" ht="12.75">
      <c r="A375" t="s">
        <v>161</v>
      </c>
      <c r="B375" t="s">
        <v>162</v>
      </c>
      <c r="C375" s="4" t="s">
        <v>162</v>
      </c>
    </row>
    <row r="376" spans="1:3" ht="12.75">
      <c r="A376">
        <f>280.46061837+360.98564736629*(F364-2451545)+F367*F367*(0.000387933-F367/38710000)</f>
        <v>1450720.7917408177</v>
      </c>
      <c r="B376">
        <f>A376+F370*COS(D373)</f>
        <v>1450720.796190893</v>
      </c>
      <c r="C376">
        <f>B376-INT(B376/360)*360</f>
        <v>280.7961908930447</v>
      </c>
    </row>
    <row r="378" spans="1:6" ht="12.75">
      <c r="A378" t="s">
        <v>60</v>
      </c>
      <c r="B378" t="s">
        <v>80</v>
      </c>
      <c r="C378" t="s">
        <v>60</v>
      </c>
      <c r="D378" t="s">
        <v>60</v>
      </c>
      <c r="E378" t="s">
        <v>60</v>
      </c>
      <c r="F378" t="s">
        <v>60</v>
      </c>
    </row>
    <row r="380" spans="1:6" ht="12.75">
      <c r="A380" s="4" t="s">
        <v>81</v>
      </c>
      <c r="B380" s="4" t="s">
        <v>82</v>
      </c>
      <c r="C380" s="4" t="s">
        <v>83</v>
      </c>
      <c r="D380" s="4"/>
      <c r="E380" s="4" t="s">
        <v>84</v>
      </c>
      <c r="F380" s="4" t="s">
        <v>85</v>
      </c>
    </row>
    <row r="381" spans="1:6" ht="12.75">
      <c r="A381">
        <f>F367*(2306.2181+F367*(0.30188+F367*0.017998))/3600</f>
        <v>0.0704731951238195</v>
      </c>
      <c r="B381">
        <f>RADIANS(A381)</f>
        <v>0.001229989289311063</v>
      </c>
      <c r="C381">
        <f>F367*(2306.2181+F367*(1.09468+F367*0.018203))/3600</f>
        <v>0.07047586022117165</v>
      </c>
      <c r="E381">
        <f>F367*(2004.3109-F367*(0.42665+F367*0.041833))/3600</f>
        <v>0.061245206004210226</v>
      </c>
      <c r="F381">
        <f>RADIANS(E381)</f>
        <v>0.0010689304958356686</v>
      </c>
    </row>
    <row r="383" spans="1:6" ht="12.75">
      <c r="A383" t="s">
        <v>60</v>
      </c>
      <c r="B383" t="s">
        <v>86</v>
      </c>
      <c r="C383" t="s">
        <v>60</v>
      </c>
      <c r="D383" t="s">
        <v>60</v>
      </c>
      <c r="E383" t="s">
        <v>60</v>
      </c>
      <c r="F383" t="s">
        <v>60</v>
      </c>
    </row>
    <row r="385" spans="1:6" ht="12.75">
      <c r="A385" s="5" t="s">
        <v>87</v>
      </c>
      <c r="B385" s="5" t="s">
        <v>89</v>
      </c>
      <c r="C385" s="5" t="s">
        <v>88</v>
      </c>
      <c r="D385" s="5" t="s">
        <v>90</v>
      </c>
      <c r="E385" s="5" t="s">
        <v>91</v>
      </c>
      <c r="F385" s="5" t="s">
        <v>92</v>
      </c>
    </row>
    <row r="386" spans="1:6" ht="12.75">
      <c r="A386">
        <f>280.46646+F367*(36000.76983+F367*0.0003032)</f>
        <v>4240.798322952434</v>
      </c>
      <c r="B386">
        <f>357.52911+F367*(35999.05029-F367*0.0001537)</f>
        <v>4317.671806217051</v>
      </c>
      <c r="C386">
        <f>RADIANS(B386)</f>
        <v>75.35758903901812</v>
      </c>
      <c r="D386">
        <f>1.914602-F367*(0.004817+F367*0.000014)</f>
        <v>1.914071927505772</v>
      </c>
      <c r="E386">
        <f>0.019993-F367*0.000101</f>
        <v>0.019981889306543266</v>
      </c>
      <c r="F386">
        <f>0.000289</f>
        <v>0.000289</v>
      </c>
    </row>
    <row r="388" spans="1:4" ht="12.75">
      <c r="A388" t="s">
        <v>93</v>
      </c>
      <c r="B388" t="s">
        <v>94</v>
      </c>
      <c r="C388" t="s">
        <v>95</v>
      </c>
      <c r="D388" s="4" t="s">
        <v>96</v>
      </c>
    </row>
    <row r="389" spans="1:4" ht="12.75">
      <c r="A389">
        <f>D386*SIN(C386)+E386*SIN(2*C386)+F386*SIN(3*C386)</f>
        <v>-0.07941350516239797</v>
      </c>
      <c r="B389">
        <f>A386+A389</f>
        <v>4240.7189094472715</v>
      </c>
      <c r="C389">
        <f>B389-360*INT(B389/360)</f>
        <v>280.71890944727147</v>
      </c>
      <c r="D389">
        <f>RADIANS(C389)</f>
        <v>4.899469242462702</v>
      </c>
    </row>
    <row r="391" spans="1:6" ht="12.75">
      <c r="A391" t="s">
        <v>60</v>
      </c>
      <c r="B391" t="s">
        <v>97</v>
      </c>
      <c r="C391" t="s">
        <v>60</v>
      </c>
      <c r="D391" t="s">
        <v>60</v>
      </c>
      <c r="E391" t="s">
        <v>60</v>
      </c>
      <c r="F391" t="s">
        <v>60</v>
      </c>
    </row>
    <row r="393" spans="1:4" ht="12.75">
      <c r="A393" s="4" t="s">
        <v>98</v>
      </c>
      <c r="B393" t="s">
        <v>99</v>
      </c>
      <c r="C393" t="s">
        <v>100</v>
      </c>
      <c r="D393" s="4" t="s">
        <v>101</v>
      </c>
    </row>
    <row r="394" spans="1:4" ht="12.75">
      <c r="A394">
        <f>0.016708634-F367*(0.000042037+0.0000001267*F367)</f>
        <v>0.01670400810811643</v>
      </c>
      <c r="B394">
        <f>102.93735+F367*(1.71946+0.00046*F367)</f>
        <v>103.12650797234947</v>
      </c>
      <c r="C394">
        <f>B394-360*INT(B394/360)</f>
        <v>103.12650797234947</v>
      </c>
      <c r="D394">
        <f>RADIANS(C394)</f>
        <v>1.7998971102016796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&amp;CStar identification based on UT, Ho, and azimuth
from a known location</oddHeader>
    <oddFooter>&amp;CCopyright 2009-2011. Navigation Spreadsheets. All rights reserved.</oddFooter>
  </headerFooter>
  <ignoredErrors>
    <ignoredError sqref="AK1:AK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2009-05-16T22:21:17Z</dcterms:created>
  <dcterms:modified xsi:type="dcterms:W3CDTF">2013-08-25T04:02:40Z</dcterms:modified>
  <cp:category/>
  <cp:version/>
  <cp:contentType/>
  <cp:contentStatus/>
</cp:coreProperties>
</file>