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60" windowWidth="18960" windowHeight="1728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<sst xmlns="http://schemas.openxmlformats.org/spreadsheetml/2006/main" count="43" uniqueCount="37">
  <si>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Year</t>
  </si>
  <si>
    <t>Month</t>
  </si>
  <si>
    <t>Day</t>
  </si>
  <si>
    <t>Hours</t>
  </si>
  <si>
    <t>Minutes</t>
  </si>
  <si>
    <t>Seconds</t>
  </si>
  <si>
    <t>Time1</t>
  </si>
  <si>
    <t>Moon GHA</t>
  </si>
  <si>
    <t>Moon Dec</t>
  </si>
  <si>
    <t>Body GHA</t>
  </si>
  <si>
    <t>Body Dec</t>
  </si>
  <si>
    <t>LD1</t>
  </si>
  <si>
    <t>Estimated UT</t>
  </si>
  <si>
    <t>Time2</t>
  </si>
  <si>
    <t>LD2</t>
  </si>
  <si>
    <t>SD Moon (')</t>
  </si>
  <si>
    <t>SD Body (')</t>
  </si>
  <si>
    <t>Obs. LD (°)</t>
  </si>
  <si>
    <t>Cent. LD (°)</t>
  </si>
  <si>
    <t>Moon</t>
  </si>
  <si>
    <t>Body</t>
  </si>
  <si>
    <t>Lunar distance</t>
  </si>
  <si>
    <t>Altitudes (Ha)</t>
  </si>
  <si>
    <t>Altitudes (Ho)</t>
  </si>
  <si>
    <t>apparent</t>
  </si>
  <si>
    <t>observed</t>
  </si>
  <si>
    <t>SD Moon aug</t>
  </si>
  <si>
    <t>cos RBA</t>
  </si>
  <si>
    <t>cos LD0</t>
  </si>
  <si>
    <t>LD0 deg</t>
  </si>
  <si>
    <t>LD0 rad</t>
  </si>
  <si>
    <t>Cleared LD</t>
  </si>
  <si>
    <t>UT</t>
  </si>
  <si>
    <t>0 &lt; IntF &lt; 1 ?</t>
  </si>
  <si>
    <t>Bracketing UTs</t>
  </si>
  <si>
    <t>from almanac</t>
  </si>
  <si>
    <t>T add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</si>
</sst>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  <numFmt numFmtId="166" formatCode="00"/>
    <numFmt numFmtId="167" formatCode="0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right"/>
    </xf>
    <xf numFmtId="21" fontId="0" fillId="0" borderId="0" xfId="0" applyNumberFormat="1" applyAlignment="1">
      <alignment/>
    </xf>
    <xf numFmtId="21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167" fontId="2" fillId="0" borderId="0" xfId="0" applyNumberFormat="1" applyFont="1" applyFill="1" applyAlignment="1" applyProtection="1">
      <alignment horizontal="right"/>
      <protection/>
    </xf>
    <xf numFmtId="1" fontId="2" fillId="3" borderId="1" xfId="0" applyNumberFormat="1" applyFont="1" applyFill="1" applyBorder="1" applyAlignment="1" applyProtection="1">
      <alignment horizontal="left"/>
      <protection locked="0"/>
    </xf>
    <xf numFmtId="166" fontId="2" fillId="3" borderId="1" xfId="0" applyNumberFormat="1" applyFont="1" applyFill="1" applyBorder="1" applyAlignment="1" applyProtection="1">
      <alignment horizontal="left"/>
      <protection locked="0"/>
    </xf>
    <xf numFmtId="21" fontId="2" fillId="3" borderId="2" xfId="0" applyNumberFormat="1" applyFont="1" applyFill="1" applyBorder="1" applyAlignment="1" applyProtection="1">
      <alignment horizontal="left"/>
      <protection locked="0"/>
    </xf>
    <xf numFmtId="164" fontId="2" fillId="3" borderId="1" xfId="0" applyNumberFormat="1" applyFont="1" applyFill="1" applyBorder="1" applyAlignment="1" applyProtection="1">
      <alignment horizontal="left"/>
      <protection locked="0"/>
    </xf>
    <xf numFmtId="0" fontId="0" fillId="4" borderId="1" xfId="0" applyFill="1" applyBorder="1" applyAlignment="1">
      <alignment/>
    </xf>
    <xf numFmtId="167" fontId="2" fillId="5" borderId="1" xfId="0" applyNumberFormat="1" applyFont="1" applyFill="1" applyBorder="1" applyAlignment="1" applyProtection="1">
      <alignment horizontal="right"/>
      <protection/>
    </xf>
    <xf numFmtId="0" fontId="2" fillId="3" borderId="1" xfId="0" applyFont="1" applyFill="1" applyBorder="1" applyAlignment="1" applyProtection="1">
      <alignment horizontal="left"/>
      <protection locked="0"/>
    </xf>
    <xf numFmtId="1" fontId="0" fillId="4" borderId="1" xfId="0" applyNumberFormat="1" applyFill="1" applyBorder="1" applyAlignment="1">
      <alignment horizontal="right"/>
    </xf>
    <xf numFmtId="167" fontId="0" fillId="4" borderId="1" xfId="0" applyNumberFormat="1" applyFill="1" applyBorder="1" applyAlignment="1">
      <alignment horizontal="right"/>
    </xf>
    <xf numFmtId="2" fontId="0" fillId="6" borderId="1" xfId="0" applyNumberFormat="1" applyFill="1" applyBorder="1" applyAlignment="1">
      <alignment horizontal="left"/>
    </xf>
    <xf numFmtId="21" fontId="0" fillId="6" borderId="1" xfId="0" applyNumberForma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150" zoomScaleNormal="150" workbookViewId="0" topLeftCell="A1">
      <selection activeCell="I37" sqref="I37"/>
    </sheetView>
  </sheetViews>
  <sheetFormatPr defaultColWidth="11.00390625" defaultRowHeight="12.75"/>
  <cols>
    <col min="1" max="1" width="12.25390625" style="0" customWidth="1"/>
    <col min="4" max="4" width="11.375" style="0" bestFit="1" customWidth="1"/>
  </cols>
  <sheetData>
    <row r="1" ht="12.75">
      <c r="A1" s="3" t="s">
        <v>12</v>
      </c>
    </row>
    <row r="2" spans="1:6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2.75">
      <c r="A3" s="14">
        <v>2005</v>
      </c>
      <c r="B3" s="15">
        <v>5</v>
      </c>
      <c r="C3" s="15">
        <v>12</v>
      </c>
      <c r="D3" s="15">
        <v>21</v>
      </c>
      <c r="E3" s="15">
        <v>18</v>
      </c>
      <c r="F3" s="15">
        <v>16</v>
      </c>
    </row>
    <row r="5" spans="1:2" ht="12.75">
      <c r="A5" s="3" t="s">
        <v>34</v>
      </c>
      <c r="B5" t="s">
        <v>35</v>
      </c>
    </row>
    <row r="6" spans="1:6" s="1" customFormat="1" ht="12.75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2" t="s">
        <v>11</v>
      </c>
    </row>
    <row r="7" spans="1:6" ht="12.75">
      <c r="A7" s="16">
        <v>0.875</v>
      </c>
      <c r="B7" s="17">
        <v>79.9833333333333</v>
      </c>
      <c r="C7" s="17">
        <v>27.828333333333333</v>
      </c>
      <c r="D7" s="17">
        <v>135.92</v>
      </c>
      <c r="E7" s="17">
        <v>18.325</v>
      </c>
      <c r="F7" s="18">
        <f>DEGREES(F9)</f>
        <v>51.903633293872915</v>
      </c>
    </row>
    <row r="8" spans="1:6" s="12" customFormat="1" ht="12.75">
      <c r="A8" s="11"/>
      <c r="B8" s="19">
        <f>ABS(B7-TRUNC(B7))*60</f>
        <v>58.99999999999835</v>
      </c>
      <c r="C8" s="19">
        <f>ABS(C7-TRUNC(C7))*60</f>
        <v>49.69999999999999</v>
      </c>
      <c r="D8" s="19">
        <f>ABS(D7-TRUNC(D7))*60</f>
        <v>55.19999999999925</v>
      </c>
      <c r="E8" s="19">
        <f>ABS(E7-TRUNC(E7))*60</f>
        <v>19.499999999999957</v>
      </c>
      <c r="F8" s="19">
        <f>ABS(F7-TRUNC(F7))*60</f>
        <v>54.217997632374875</v>
      </c>
    </row>
    <row r="9" spans="2:6" ht="12.75">
      <c r="B9">
        <f>RADIANS(B7)</f>
        <v>1.3959725133867975</v>
      </c>
      <c r="C9">
        <f>RADIANS(C7)</f>
        <v>0.48569604200915534</v>
      </c>
      <c r="D9">
        <f>RADIANS(D7)</f>
        <v>2.3722515193106926</v>
      </c>
      <c r="E9">
        <f>RADIANS(E7)</f>
        <v>0.31983158542796086</v>
      </c>
      <c r="F9">
        <f>ACOS(SIN(C9)*SIN(E9)+COS(C9)*COS(E9)*COS(B9-D9))</f>
        <v>0.9058892947258319</v>
      </c>
    </row>
    <row r="11" spans="1:6" s="1" customFormat="1" ht="12.75">
      <c r="A11" s="1" t="s">
        <v>13</v>
      </c>
      <c r="B11" s="1" t="s">
        <v>7</v>
      </c>
      <c r="C11" s="1" t="s">
        <v>8</v>
      </c>
      <c r="D11" s="1" t="s">
        <v>9</v>
      </c>
      <c r="E11" s="1" t="s">
        <v>10</v>
      </c>
      <c r="F11" s="2" t="s">
        <v>14</v>
      </c>
    </row>
    <row r="12" spans="1:6" ht="12.75">
      <c r="A12" s="16">
        <v>0.9166666666666666</v>
      </c>
      <c r="B12" s="17">
        <v>94.46333333333334</v>
      </c>
      <c r="C12" s="17">
        <v>27.778333333333332</v>
      </c>
      <c r="D12" s="17">
        <v>150.92</v>
      </c>
      <c r="E12" s="17">
        <v>18.335</v>
      </c>
      <c r="F12" s="18">
        <f>DEGREES(F14)</f>
        <v>52.36159521997374</v>
      </c>
    </row>
    <row r="13" spans="1:6" s="12" customFormat="1" ht="12.75">
      <c r="A13" s="11"/>
      <c r="B13" s="19">
        <f>ABS(B12-TRUNC(B12))*60</f>
        <v>27.800000000000296</v>
      </c>
      <c r="C13" s="19">
        <f>ABS(C12-TRUNC(C12))*60</f>
        <v>46.699999999999946</v>
      </c>
      <c r="D13" s="19">
        <f>ABS(D12-TRUNC(D12))*60</f>
        <v>55.19999999999925</v>
      </c>
      <c r="E13" s="19">
        <f>ABS(E12-TRUNC(E12))*60</f>
        <v>20.10000000000005</v>
      </c>
      <c r="F13" s="19">
        <f>ABS(F12-TRUNC(F12))*60</f>
        <v>21.695713198424187</v>
      </c>
    </row>
    <row r="14" spans="2:6" ht="12.75">
      <c r="B14">
        <f>RADIANS(B12)</f>
        <v>1.648696189075577</v>
      </c>
      <c r="C14">
        <f>RADIANS(C12)</f>
        <v>0.48482337738315817</v>
      </c>
      <c r="D14">
        <f>RADIANS(D12)</f>
        <v>2.634050907109842</v>
      </c>
      <c r="E14">
        <f>RADIANS(E12)</f>
        <v>0.32000611835316034</v>
      </c>
      <c r="F14">
        <f>ACOS(SIN(C14)*SIN(E14)+COS(C14)*COS(E14)*COS(B14-D14))</f>
        <v>0.9138822381850662</v>
      </c>
    </row>
    <row r="16" spans="1:6" ht="12.75">
      <c r="A16" s="3" t="s">
        <v>22</v>
      </c>
      <c r="B16" s="1" t="s">
        <v>19</v>
      </c>
      <c r="C16" s="1" t="s">
        <v>20</v>
      </c>
      <c r="D16" s="3" t="s">
        <v>23</v>
      </c>
      <c r="E16" s="1" t="s">
        <v>19</v>
      </c>
      <c r="F16" s="1" t="s">
        <v>20</v>
      </c>
    </row>
    <row r="17" spans="1:6" s="4" customFormat="1" ht="12.75">
      <c r="A17" s="6" t="s">
        <v>24</v>
      </c>
      <c r="B17" s="17">
        <v>30.605</v>
      </c>
      <c r="C17" s="17">
        <v>38.663333333333334</v>
      </c>
      <c r="D17" s="6" t="s">
        <v>25</v>
      </c>
      <c r="E17" s="17">
        <v>31.356666666666666</v>
      </c>
      <c r="F17" s="17">
        <v>38.645</v>
      </c>
    </row>
    <row r="18" spans="1:6" s="12" customFormat="1" ht="12.75">
      <c r="A18" s="11"/>
      <c r="B18" s="19">
        <f>ABS(B17-TRUNC(B17))*60</f>
        <v>36.300000000000026</v>
      </c>
      <c r="C18" s="19">
        <f>ABS(C17-TRUNC(C17))*60</f>
        <v>39.80000000000004</v>
      </c>
      <c r="D18" s="13"/>
      <c r="E18" s="19">
        <f>ABS(E17-TRUNC(E17))*60</f>
        <v>21.399999999999935</v>
      </c>
      <c r="F18" s="19">
        <f>ABS(F17-TRUNC(F17))*60</f>
        <v>38.70000000000019</v>
      </c>
    </row>
    <row r="19" spans="2:6" ht="12.75">
      <c r="B19">
        <f>RADIANS(B17)</f>
        <v>0.5341580175728645</v>
      </c>
      <c r="C19">
        <f>RADIANS(C17)</f>
        <v>0.674802466462741</v>
      </c>
      <c r="E19">
        <f>RADIANS(E17)</f>
        <v>0.5472770757836886</v>
      </c>
      <c r="F19">
        <f>RADIANS(F17)</f>
        <v>0.6744824894332087</v>
      </c>
    </row>
    <row r="21" spans="1:6" s="1" customFormat="1" ht="12.75">
      <c r="A21" s="3" t="s">
        <v>21</v>
      </c>
      <c r="B21" s="1" t="s">
        <v>17</v>
      </c>
      <c r="C21" s="1" t="s">
        <v>15</v>
      </c>
      <c r="D21" s="7" t="s">
        <v>26</v>
      </c>
      <c r="E21" s="1" t="s">
        <v>16</v>
      </c>
      <c r="F21" s="2" t="s">
        <v>18</v>
      </c>
    </row>
    <row r="22" spans="1:6" ht="12.75">
      <c r="A22" s="5"/>
      <c r="B22" s="17">
        <v>51.87166666666667</v>
      </c>
      <c r="C22" s="20">
        <v>14.9</v>
      </c>
      <c r="D22" s="8">
        <f>IF(C22&gt;=0,C22+0.26*SIN(B19),C22-0.26*SIN(B19))</f>
        <v>15.032370297208214</v>
      </c>
      <c r="E22" s="20">
        <v>15.9</v>
      </c>
      <c r="F22" s="18">
        <f>B22+(D22+E22)/60</f>
        <v>52.38720617162014</v>
      </c>
    </row>
    <row r="23" spans="1:6" s="12" customFormat="1" ht="12.75">
      <c r="A23" s="11"/>
      <c r="B23" s="19">
        <f>ABS(B22-TRUNC(B22))*60</f>
        <v>52.30000000000018</v>
      </c>
      <c r="C23" s="13"/>
      <c r="D23" s="13"/>
      <c r="E23" s="13"/>
      <c r="F23" s="19">
        <f>ABS(F22-TRUNC(F22))*60</f>
        <v>23.232370297208575</v>
      </c>
    </row>
    <row r="24" ht="12.75">
      <c r="F24">
        <f>RADIANS(F22)</f>
        <v>0.914329233615865</v>
      </c>
    </row>
    <row r="26" spans="1:5" ht="12.75">
      <c r="A26" t="s">
        <v>27</v>
      </c>
      <c r="B26" t="s">
        <v>28</v>
      </c>
      <c r="C26" t="s">
        <v>30</v>
      </c>
      <c r="D26" t="s">
        <v>29</v>
      </c>
      <c r="E26" s="9" t="s">
        <v>31</v>
      </c>
    </row>
    <row r="27" spans="1:6" ht="12.75">
      <c r="A27">
        <f>(COS(F24)-SIN(B19)*SIN(C19))/COS(B19)/COS(C19)</f>
        <v>0.43486524898396656</v>
      </c>
      <c r="B27">
        <f>SIN(E19)*SIN(F19)+COS(E19)*COS(F19)*A27</f>
        <v>0.6149999702549624</v>
      </c>
      <c r="C27">
        <f>ACOS(B27)</f>
        <v>0.9084103980153834</v>
      </c>
      <c r="D27">
        <f>DEGREES(C27)</f>
        <v>52.048081872080765</v>
      </c>
      <c r="E27" s="21">
        <f>TRUNC(D27)</f>
        <v>52</v>
      </c>
      <c r="F27" s="22">
        <f>(D27-E27)*60</f>
        <v>2.8849123248458852</v>
      </c>
    </row>
    <row r="29" spans="1:3" ht="12.75">
      <c r="A29" s="2" t="s">
        <v>33</v>
      </c>
      <c r="B29" s="2" t="s">
        <v>36</v>
      </c>
      <c r="C29" s="2" t="s">
        <v>32</v>
      </c>
    </row>
    <row r="30" spans="1:3" ht="12.75">
      <c r="A30" s="23">
        <f>(D27-F7)/(F12-F7)</f>
        <v>0.31541612954097265</v>
      </c>
      <c r="B30" s="24">
        <f>(A12-A7)*A30</f>
        <v>0.01314233873087385</v>
      </c>
      <c r="C30" s="24">
        <f>A7+B30</f>
        <v>0.8881423387308739</v>
      </c>
    </row>
    <row r="33" ht="12.75">
      <c r="A33" s="10"/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&amp;CUT from lunar distance
Enter estimated UT in row 3</oddHeader>
    <oddFooter>&amp;CCopyright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2009-05-25T19:04:00Z</dcterms:created>
  <cp:category/>
  <cp:version/>
  <cp:contentType/>
  <cp:contentStatus/>
</cp:coreProperties>
</file>