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52A93409-343E-447D-932D-434123B23473}" xr6:coauthVersionLast="47" xr6:coauthVersionMax="47" xr10:uidLastSave="{00000000-0000-0000-0000-000000000000}"/>
  <bookViews>
    <workbookView xWindow="-110" yWindow="-110" windowWidth="19420" windowHeight="10420" xr2:uid="{6BC884D8-DF42-4D8F-A1E3-EBB55FDE943B}"/>
  </bookViews>
  <sheets>
    <sheet name="Summary" sheetId="6" r:id="rId1"/>
    <sheet name="&quot;Rigorous&quot;" sheetId="4" r:id="rId2"/>
    <sheet name="Bowditch's 2nd method" sheetId="3" r:id="rId3"/>
    <sheet name="Graphical" sheetId="5" r:id="rId4"/>
    <sheet name="Example in Hints" sheetId="2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6" l="1"/>
  <c r="C14" i="6"/>
  <c r="I15" i="6"/>
  <c r="I14" i="6"/>
  <c r="I11" i="2"/>
  <c r="K20" i="4"/>
  <c r="I10" i="6"/>
  <c r="B10" i="6"/>
  <c r="C10" i="6" s="1"/>
  <c r="D10" i="6" s="1"/>
  <c r="I5" i="6"/>
  <c r="B5" i="6" s="1"/>
  <c r="C5" i="6" s="1"/>
  <c r="D5" i="6" s="1"/>
  <c r="L17" i="5"/>
  <c r="L16" i="5"/>
  <c r="M16" i="5" s="1"/>
  <c r="G16" i="5" s="1"/>
  <c r="L15" i="5"/>
  <c r="M15" i="5" s="1"/>
  <c r="L14" i="5"/>
  <c r="L5" i="5"/>
  <c r="M5" i="5" s="1"/>
  <c r="L6" i="5"/>
  <c r="M6" i="5" s="1"/>
  <c r="G6" i="5" s="1"/>
  <c r="L7" i="5"/>
  <c r="L4" i="5"/>
  <c r="I26" i="2"/>
  <c r="I25" i="2"/>
  <c r="J19" i="4"/>
  <c r="J18" i="4"/>
  <c r="K18" i="4" s="1"/>
  <c r="J17" i="4"/>
  <c r="J16" i="4"/>
  <c r="K16" i="4" s="1"/>
  <c r="J15" i="4"/>
  <c r="J7" i="4"/>
  <c r="K7" i="4" s="1"/>
  <c r="J8" i="4"/>
  <c r="K8" i="4" s="1"/>
  <c r="J9" i="4"/>
  <c r="K9" i="4" s="1"/>
  <c r="J6" i="4"/>
  <c r="K6" i="4" s="1"/>
  <c r="J5" i="4"/>
  <c r="K5" i="4" s="1"/>
  <c r="B25" i="3"/>
  <c r="O24" i="3"/>
  <c r="O20" i="3"/>
  <c r="O19" i="3"/>
  <c r="P19" i="3" s="1"/>
  <c r="G19" i="3" s="1"/>
  <c r="O18" i="3"/>
  <c r="P18" i="3" s="1"/>
  <c r="J18" i="3" s="1"/>
  <c r="O17" i="3"/>
  <c r="J17" i="3" s="1"/>
  <c r="B12" i="3"/>
  <c r="O11" i="3"/>
  <c r="O7" i="3"/>
  <c r="P7" i="3" s="1"/>
  <c r="J7" i="3" s="1"/>
  <c r="O6" i="3"/>
  <c r="P6" i="3" s="1"/>
  <c r="G6" i="3" s="1"/>
  <c r="O5" i="3"/>
  <c r="P5" i="3" s="1"/>
  <c r="J5" i="3" s="1"/>
  <c r="O4" i="3"/>
  <c r="G4" i="3" s="1"/>
  <c r="I18" i="2"/>
  <c r="J18" i="2" s="1"/>
  <c r="I17" i="2"/>
  <c r="J17" i="2" s="1"/>
  <c r="I16" i="2"/>
  <c r="J16" i="2" s="1"/>
  <c r="I15" i="2"/>
  <c r="I3" i="2"/>
  <c r="I5" i="2"/>
  <c r="J5" i="2" s="1"/>
  <c r="I6" i="2"/>
  <c r="J6" i="2" s="1"/>
  <c r="I4" i="2"/>
  <c r="J4" i="2" s="1"/>
  <c r="I27" i="2" l="1"/>
  <c r="B27" i="2" s="1"/>
  <c r="C27" i="2" s="1"/>
  <c r="D27" i="2" s="1"/>
  <c r="K10" i="4"/>
  <c r="G5" i="5"/>
  <c r="M7" i="5"/>
  <c r="G7" i="5" s="1"/>
  <c r="G15" i="5"/>
  <c r="M17" i="5"/>
  <c r="G17" i="5" s="1"/>
  <c r="J27" i="2"/>
  <c r="E28" i="2" s="1"/>
  <c r="E7" i="2"/>
  <c r="J8" i="2" s="1"/>
  <c r="I8" i="2" s="1"/>
  <c r="K15" i="4"/>
  <c r="K19" i="4"/>
  <c r="K17" i="4"/>
  <c r="G17" i="3"/>
  <c r="P20" i="3"/>
  <c r="J4" i="3"/>
  <c r="J8" i="3" s="1"/>
  <c r="O10" i="3" s="1"/>
  <c r="B10" i="3" s="1"/>
  <c r="C10" i="3" s="1"/>
  <c r="D10" i="3" s="1"/>
  <c r="G7" i="3"/>
  <c r="G8" i="3" s="1"/>
  <c r="O9" i="3" s="1"/>
  <c r="E19" i="2"/>
  <c r="G18" i="5" l="1"/>
  <c r="G8" i="5"/>
  <c r="M9" i="5" s="1"/>
  <c r="L9" i="5" s="1"/>
  <c r="L10" i="5" s="1"/>
  <c r="M19" i="5"/>
  <c r="L19" i="5" s="1"/>
  <c r="B11" i="2"/>
  <c r="C11" i="2" s="1"/>
  <c r="J20" i="2"/>
  <c r="I20" i="2" s="1"/>
  <c r="E29" i="2"/>
  <c r="I9" i="2"/>
  <c r="I10" i="2" s="1"/>
  <c r="B10" i="2" s="1"/>
  <c r="C10" i="2" s="1"/>
  <c r="D10" i="2" s="1"/>
  <c r="B8" i="2"/>
  <c r="C8" i="2" s="1"/>
  <c r="D8" i="2" s="1"/>
  <c r="J20" i="3"/>
  <c r="J21" i="3" s="1"/>
  <c r="O23" i="3" s="1"/>
  <c r="G20" i="3"/>
  <c r="G21" i="3" s="1"/>
  <c r="O22" i="3" s="1"/>
  <c r="O13" i="3"/>
  <c r="E13" i="3" s="1"/>
  <c r="B9" i="3"/>
  <c r="I21" i="2"/>
  <c r="I22" i="2" s="1"/>
  <c r="B20" i="2"/>
  <c r="C20" i="2" s="1"/>
  <c r="B9" i="5" l="1"/>
  <c r="C9" i="5" s="1"/>
  <c r="L20" i="5"/>
  <c r="L21" i="5" s="1"/>
  <c r="I11" i="6" s="1"/>
  <c r="B19" i="5"/>
  <c r="C19" i="5" s="1"/>
  <c r="I12" i="2"/>
  <c r="D11" i="2"/>
  <c r="B22" i="2"/>
  <c r="C22" i="2" s="1"/>
  <c r="B9" i="2"/>
  <c r="C9" i="2" s="1"/>
  <c r="J20" i="4"/>
  <c r="I9" i="6" s="1"/>
  <c r="B9" i="6" s="1"/>
  <c r="C9" i="6" s="1"/>
  <c r="D9" i="6" s="1"/>
  <c r="O26" i="3"/>
  <c r="B22" i="3"/>
  <c r="C22" i="3" s="1"/>
  <c r="B23" i="3"/>
  <c r="C23" i="3" s="1"/>
  <c r="B13" i="3"/>
  <c r="C13" i="3" s="1"/>
  <c r="D13" i="3" s="1"/>
  <c r="O14" i="3"/>
  <c r="C9" i="3"/>
  <c r="D9" i="3" s="1"/>
  <c r="D20" i="2"/>
  <c r="B21" i="2"/>
  <c r="C21" i="2" s="1"/>
  <c r="B11" i="6" l="1"/>
  <c r="C11" i="6" s="1"/>
  <c r="D11" i="6" s="1"/>
  <c r="D9" i="5"/>
  <c r="B10" i="5"/>
  <c r="C10" i="5" s="1"/>
  <c r="L11" i="5"/>
  <c r="I6" i="6" s="1"/>
  <c r="D19" i="5"/>
  <c r="B20" i="5"/>
  <c r="C20" i="5" s="1"/>
  <c r="E12" i="2"/>
  <c r="B12" i="2"/>
  <c r="C12" i="2" s="1"/>
  <c r="D9" i="2"/>
  <c r="B20" i="4"/>
  <c r="J10" i="4"/>
  <c r="I4" i="6" s="1"/>
  <c r="E26" i="3"/>
  <c r="B26" i="3"/>
  <c r="C26" i="3"/>
  <c r="D26" i="3" s="1"/>
  <c r="D22" i="3"/>
  <c r="D23" i="3"/>
  <c r="O27" i="3"/>
  <c r="B14" i="3"/>
  <c r="C14" i="3" s="1"/>
  <c r="D21" i="2"/>
  <c r="B6" i="6" l="1"/>
  <c r="C6" i="6" s="1"/>
  <c r="D6" i="6"/>
  <c r="B4" i="6"/>
  <c r="C4" i="6" s="1"/>
  <c r="D4" i="6" s="1"/>
  <c r="D10" i="5"/>
  <c r="B11" i="5"/>
  <c r="C11" i="5" s="1"/>
  <c r="D20" i="5"/>
  <c r="B21" i="5"/>
  <c r="D12" i="2"/>
  <c r="C20" i="4"/>
  <c r="D20" i="4" s="1"/>
  <c r="B10" i="4"/>
  <c r="C10" i="4" s="1"/>
  <c r="B27" i="3"/>
  <c r="D14" i="3"/>
  <c r="D11" i="5" l="1"/>
  <c r="C21" i="5"/>
  <c r="D21" i="5" s="1"/>
  <c r="D10" i="4"/>
  <c r="C27" i="3"/>
  <c r="D27" i="3" s="1"/>
</calcChain>
</file>

<file path=xl/sharedStrings.xml><?xml version="1.0" encoding="utf-8"?>
<sst xmlns="http://schemas.openxmlformats.org/spreadsheetml/2006/main" count="130" uniqueCount="47">
  <si>
    <t>H'</t>
  </si>
  <si>
    <t>h'</t>
  </si>
  <si>
    <t>D'</t>
  </si>
  <si>
    <t>ME</t>
  </si>
  <si>
    <t>γ°</t>
  </si>
  <si>
    <t>correction</t>
  </si>
  <si>
    <t>HP</t>
  </si>
  <si>
    <t>correction, subtractive</t>
  </si>
  <si>
    <t>plog</t>
  </si>
  <si>
    <t>log csc</t>
  </si>
  <si>
    <t>log sin</t>
  </si>
  <si>
    <t>log tan</t>
  </si>
  <si>
    <t>additive:</t>
  </si>
  <si>
    <t>1st corr</t>
  </si>
  <si>
    <t>2nd corr</t>
  </si>
  <si>
    <t>3rd corr</t>
  </si>
  <si>
    <t>D</t>
  </si>
  <si>
    <t>subtractive:</t>
  </si>
  <si>
    <t>Table XLVIII</t>
  </si>
  <si>
    <t>H</t>
  </si>
  <si>
    <t>h</t>
  </si>
  <si>
    <t>with rounded data</t>
  </si>
  <si>
    <t>calculated from given data</t>
  </si>
  <si>
    <t>calculated backwards from given correction</t>
  </si>
  <si>
    <t>error in ME</t>
  </si>
  <si>
    <t>parallax part of corr, negative</t>
  </si>
  <si>
    <t>rest of corr, positive</t>
  </si>
  <si>
    <r>
      <t>c(90</t>
    </r>
    <r>
      <rPr>
        <sz val="11"/>
        <color theme="1"/>
        <rFont val="Calibri"/>
        <family val="2"/>
      </rPr>
      <t>°-H')</t>
    </r>
  </si>
  <si>
    <r>
      <t>c(90</t>
    </r>
    <r>
      <rPr>
        <sz val="11"/>
        <color theme="1"/>
        <rFont val="Calibri"/>
        <family val="2"/>
      </rPr>
      <t>°-h')</t>
    </r>
  </si>
  <si>
    <t>c(D')</t>
  </si>
  <si>
    <t>Cleared distances, additive case:</t>
  </si>
  <si>
    <t>"Rigorous"</t>
  </si>
  <si>
    <t>Cleared distances, subtractive case:</t>
  </si>
  <si>
    <t>Example in Hints (1883) page 74</t>
  </si>
  <si>
    <t>Hints' graphical (but calculated)</t>
  </si>
  <si>
    <t xml:space="preserve">"Rigorous" solution. Altitude corrections taken from NA 2011 (standard conditions). </t>
  </si>
  <si>
    <t>Bowditch's (1851) second method. Logarithms rounded to 4 figures.</t>
  </si>
  <si>
    <t>Graphical method according to Hints (1883). Instead of setting out chords on a circle, the values have been calculated from my interpretation of the text.</t>
  </si>
  <si>
    <t xml:space="preserve">Either have measuring and plotting errors just by chance provided a good result, or perhaps more likely the result is intentionally faired to give the good result. </t>
  </si>
  <si>
    <t>°</t>
  </si>
  <si>
    <t>'</t>
  </si>
  <si>
    <t>''</t>
  </si>
  <si>
    <t>Bowditch's 2nd method</t>
  </si>
  <si>
    <t>Bowditch's 2nd method is most similar to the graphical method as it uses only apparent input data. The difference between Bowditch and graphical:</t>
  </si>
  <si>
    <t>additive case</t>
  </si>
  <si>
    <t>subtractive case</t>
  </si>
  <si>
    <t>Lars Bergman, 8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</si>
</sst>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7" formatCode="0.0"/>
    <numFmt numFmtId="168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7" fontId="0" fillId="0" borderId="0" xfId="0" applyNumberFormat="1"/>
    <xf numFmtId="168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1" fillId="0" borderId="0" xfId="0" applyFont="1" applyAlignment="1">
      <alignment horizontal="right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4AE5-CD82-4887-B114-AAD1A0F2C387}">
  <dimension ref="A3:I18"/>
  <sheetViews>
    <sheetView tabSelected="1" workbookViewId="0">
      <selection activeCell="D21" sqref="D21"/>
    </sheetView>
  </sheetViews>
  <sheetFormatPr defaultRowHeight="14.5" x14ac:dyDescent="0.35"/>
  <cols>
    <col min="1" max="1" width="27.1796875" customWidth="1"/>
  </cols>
  <sheetData>
    <row r="3" spans="1:9" x14ac:dyDescent="0.35">
      <c r="A3" t="s">
        <v>30</v>
      </c>
      <c r="B3" s="12" t="s">
        <v>39</v>
      </c>
      <c r="C3" s="13" t="s">
        <v>40</v>
      </c>
      <c r="D3" s="13" t="s">
        <v>41</v>
      </c>
    </row>
    <row r="4" spans="1:9" x14ac:dyDescent="0.35">
      <c r="A4" t="s">
        <v>31</v>
      </c>
      <c r="B4">
        <f>INT(I4)</f>
        <v>56</v>
      </c>
      <c r="C4">
        <f>INT(60*(I4-B4))</f>
        <v>4</v>
      </c>
      <c r="D4" s="3">
        <f>3600*(I4-B4-C4/60)</f>
        <v>15.726250457786367</v>
      </c>
      <c r="I4">
        <f>'"Rigorous"'!J10</f>
        <v>56.071035069571607</v>
      </c>
    </row>
    <row r="5" spans="1:9" x14ac:dyDescent="0.35">
      <c r="A5" t="s">
        <v>42</v>
      </c>
      <c r="B5">
        <f t="shared" ref="B5:B6" si="0">INT(I5)</f>
        <v>56</v>
      </c>
      <c r="C5">
        <f t="shared" ref="C5:C6" si="1">INT(60*(I5-B5))</f>
        <v>4</v>
      </c>
      <c r="D5" s="3">
        <f t="shared" ref="D5:D6" si="2">3600*(I5-B5-C5/60)</f>
        <v>13.369500870084611</v>
      </c>
      <c r="I5">
        <f>'Bowditch''s 2nd method'!O14</f>
        <v>56.070380416908357</v>
      </c>
    </row>
    <row r="6" spans="1:9" x14ac:dyDescent="0.35">
      <c r="A6" t="s">
        <v>34</v>
      </c>
      <c r="B6">
        <f t="shared" si="0"/>
        <v>56</v>
      </c>
      <c r="C6">
        <f t="shared" si="1"/>
        <v>2</v>
      </c>
      <c r="D6" s="3">
        <f t="shared" si="2"/>
        <v>37.242882935040029</v>
      </c>
      <c r="I6">
        <f>Graphical!L11</f>
        <v>56.043678578593067</v>
      </c>
    </row>
    <row r="8" spans="1:9" x14ac:dyDescent="0.35">
      <c r="A8" t="s">
        <v>32</v>
      </c>
    </row>
    <row r="9" spans="1:9" x14ac:dyDescent="0.35">
      <c r="A9" t="s">
        <v>31</v>
      </c>
      <c r="B9">
        <f>INT(I9)</f>
        <v>55</v>
      </c>
      <c r="C9">
        <f>INT(60*(I9-B9))</f>
        <v>38</v>
      </c>
      <c r="D9" s="3">
        <f>3600*(I9-B9-C9/60)</f>
        <v>54.328184611442332</v>
      </c>
      <c r="I9">
        <f>'"Rigorous"'!J20</f>
        <v>55.648424495725401</v>
      </c>
    </row>
    <row r="10" spans="1:9" x14ac:dyDescent="0.35">
      <c r="A10" t="s">
        <v>42</v>
      </c>
      <c r="B10">
        <f t="shared" ref="B10:B11" si="3">INT(I10)</f>
        <v>55</v>
      </c>
      <c r="C10">
        <f t="shared" ref="C10:C11" si="4">INT(60*(I10-B10))</f>
        <v>38</v>
      </c>
      <c r="D10" s="3">
        <f t="shared" ref="D10:D11" si="5">3600*(I10-B10-C10/60)</f>
        <v>51.022534224678218</v>
      </c>
      <c r="I10">
        <f>'Bowditch''s 2nd method'!O27</f>
        <v>55.647506259506855</v>
      </c>
    </row>
    <row r="11" spans="1:9" x14ac:dyDescent="0.35">
      <c r="A11" t="s">
        <v>34</v>
      </c>
      <c r="B11">
        <f t="shared" si="3"/>
        <v>55</v>
      </c>
      <c r="C11">
        <f t="shared" si="4"/>
        <v>39</v>
      </c>
      <c r="D11" s="3">
        <f t="shared" si="5"/>
        <v>13.49616576849022</v>
      </c>
      <c r="I11">
        <f>Graphical!L21</f>
        <v>55.653748934935692</v>
      </c>
    </row>
    <row r="13" spans="1:9" x14ac:dyDescent="0.35">
      <c r="A13" t="s">
        <v>43</v>
      </c>
    </row>
    <row r="14" spans="1:9" x14ac:dyDescent="0.35">
      <c r="A14" t="s">
        <v>44</v>
      </c>
      <c r="C14" s="8">
        <f>60*I14</f>
        <v>1.6021102989174096</v>
      </c>
      <c r="I14">
        <f>I5-I6</f>
        <v>2.6701838315290161E-2</v>
      </c>
    </row>
    <row r="15" spans="1:9" x14ac:dyDescent="0.35">
      <c r="A15" t="s">
        <v>45</v>
      </c>
      <c r="C15" s="8">
        <f>60*I15</f>
        <v>-0.37456052573020315</v>
      </c>
      <c r="I15">
        <f>I10-I11</f>
        <v>-6.2426754288367192E-3</v>
      </c>
    </row>
    <row r="18" spans="1:1" x14ac:dyDescent="0.35">
      <c r="A18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A959-D441-4836-A42C-725AD01CE18B}">
  <dimension ref="A1:K20"/>
  <sheetViews>
    <sheetView workbookViewId="0">
      <selection activeCell="E22" sqref="E22"/>
    </sheetView>
  </sheetViews>
  <sheetFormatPr defaultRowHeight="14.5" x14ac:dyDescent="0.35"/>
  <sheetData>
    <row r="1" spans="1:11" x14ac:dyDescent="0.35">
      <c r="A1" t="s">
        <v>35</v>
      </c>
    </row>
    <row r="3" spans="1:11" x14ac:dyDescent="0.35">
      <c r="A3" t="s">
        <v>12</v>
      </c>
      <c r="B3" s="12" t="s">
        <v>39</v>
      </c>
      <c r="C3" s="13" t="s">
        <v>40</v>
      </c>
      <c r="D3" s="13" t="s">
        <v>41</v>
      </c>
    </row>
    <row r="4" spans="1:11" x14ac:dyDescent="0.35">
      <c r="A4" t="s">
        <v>6</v>
      </c>
      <c r="C4">
        <v>57</v>
      </c>
      <c r="D4">
        <v>0</v>
      </c>
    </row>
    <row r="5" spans="1:11" x14ac:dyDescent="0.35">
      <c r="A5" t="s">
        <v>0</v>
      </c>
      <c r="B5">
        <v>38</v>
      </c>
      <c r="C5">
        <v>0</v>
      </c>
      <c r="D5">
        <v>0</v>
      </c>
      <c r="J5">
        <f>B5+C5/60+D5/3600</f>
        <v>38</v>
      </c>
      <c r="K5">
        <f>RADIANS(J5)</f>
        <v>0.66322511575784526</v>
      </c>
    </row>
    <row r="6" spans="1:11" x14ac:dyDescent="0.35">
      <c r="A6" t="s">
        <v>1</v>
      </c>
      <c r="B6">
        <v>18</v>
      </c>
      <c r="C6">
        <v>0</v>
      </c>
      <c r="D6">
        <v>0</v>
      </c>
      <c r="J6">
        <f>B6+C6/60+D6/3600</f>
        <v>18</v>
      </c>
      <c r="K6">
        <f t="shared" ref="K6:K9" si="0">RADIANS(J6)</f>
        <v>0.31415926535897931</v>
      </c>
    </row>
    <row r="7" spans="1:11" x14ac:dyDescent="0.35">
      <c r="A7" t="s">
        <v>19</v>
      </c>
      <c r="B7">
        <v>38</v>
      </c>
      <c r="C7">
        <v>43</v>
      </c>
      <c r="D7">
        <v>36</v>
      </c>
      <c r="J7">
        <f>B7+C7/60+D7/3600</f>
        <v>38.726666666666667</v>
      </c>
      <c r="K7">
        <f t="shared" si="0"/>
        <v>0.67590784165567064</v>
      </c>
    </row>
    <row r="8" spans="1:11" x14ac:dyDescent="0.35">
      <c r="A8" t="s">
        <v>20</v>
      </c>
      <c r="B8">
        <v>17</v>
      </c>
      <c r="C8">
        <v>57</v>
      </c>
      <c r="D8">
        <v>0</v>
      </c>
      <c r="J8">
        <f>B8+C8/60+D8/3600</f>
        <v>17.95</v>
      </c>
      <c r="K8">
        <f t="shared" si="0"/>
        <v>0.31328660073298215</v>
      </c>
    </row>
    <row r="9" spans="1:11" x14ac:dyDescent="0.35">
      <c r="A9" t="s">
        <v>2</v>
      </c>
      <c r="B9">
        <v>56</v>
      </c>
      <c r="C9">
        <v>0</v>
      </c>
      <c r="D9">
        <v>0</v>
      </c>
      <c r="F9" s="7"/>
      <c r="G9" s="7"/>
      <c r="J9">
        <f>B9+C9/60+D9/3600</f>
        <v>56</v>
      </c>
      <c r="K9">
        <f t="shared" si="0"/>
        <v>0.97738438111682457</v>
      </c>
    </row>
    <row r="10" spans="1:11" x14ac:dyDescent="0.35">
      <c r="A10" t="s">
        <v>16</v>
      </c>
      <c r="B10" s="10">
        <f t="shared" ref="B10" si="1">INT(J10)</f>
        <v>56</v>
      </c>
      <c r="C10" s="10">
        <f>INT(60*(J10-B10))</f>
        <v>4</v>
      </c>
      <c r="D10" s="11">
        <f>3600*(J10-B10-C10/60)</f>
        <v>15.726250457786367</v>
      </c>
      <c r="J10">
        <f>DEGREES(K10)</f>
        <v>56.071035069571607</v>
      </c>
      <c r="K10">
        <f>ACOS(SIN(K7)*SIN(K8)+COS(K7)*COS(K8)*_xlfn.SEC(K5)*_xlfn.SEC(K6)*(COS(K9)-SIN(K5)*SIN(K6)))</f>
        <v>0.9786241769652323</v>
      </c>
    </row>
    <row r="11" spans="1:11" x14ac:dyDescent="0.35">
      <c r="D11" s="3"/>
    </row>
    <row r="13" spans="1:11" x14ac:dyDescent="0.35">
      <c r="A13" t="s">
        <v>17</v>
      </c>
    </row>
    <row r="14" spans="1:11" x14ac:dyDescent="0.35">
      <c r="A14" t="s">
        <v>6</v>
      </c>
      <c r="C14">
        <v>57</v>
      </c>
      <c r="D14">
        <v>0</v>
      </c>
    </row>
    <row r="15" spans="1:11" x14ac:dyDescent="0.35">
      <c r="A15" t="s">
        <v>0</v>
      </c>
      <c r="B15">
        <v>38</v>
      </c>
      <c r="C15">
        <v>0</v>
      </c>
      <c r="D15">
        <v>0</v>
      </c>
      <c r="J15">
        <f>B15+C15/60+D15/3600</f>
        <v>38</v>
      </c>
      <c r="K15">
        <f>RADIANS(J15)</f>
        <v>0.66322511575784526</v>
      </c>
    </row>
    <row r="16" spans="1:11" x14ac:dyDescent="0.35">
      <c r="A16" t="s">
        <v>1</v>
      </c>
      <c r="B16">
        <v>42</v>
      </c>
      <c r="C16">
        <v>0</v>
      </c>
      <c r="D16">
        <v>0</v>
      </c>
      <c r="J16">
        <f>B16+C16/60+D16/3600</f>
        <v>42</v>
      </c>
      <c r="K16">
        <f t="shared" ref="K16:K19" si="2">RADIANS(J16)</f>
        <v>0.73303828583761843</v>
      </c>
    </row>
    <row r="17" spans="1:11" x14ac:dyDescent="0.35">
      <c r="A17" t="s">
        <v>19</v>
      </c>
      <c r="B17">
        <v>38</v>
      </c>
      <c r="C17">
        <v>43</v>
      </c>
      <c r="D17">
        <v>36</v>
      </c>
      <c r="J17">
        <f>B17+C17/60+D17/3600</f>
        <v>38.726666666666667</v>
      </c>
      <c r="K17">
        <f t="shared" si="2"/>
        <v>0.67590784165567064</v>
      </c>
    </row>
    <row r="18" spans="1:11" x14ac:dyDescent="0.35">
      <c r="A18" t="s">
        <v>20</v>
      </c>
      <c r="B18">
        <v>41</v>
      </c>
      <c r="C18">
        <v>58</v>
      </c>
      <c r="D18">
        <v>54</v>
      </c>
      <c r="J18">
        <f>B18+C18/60+D18/3600</f>
        <v>41.981666666666669</v>
      </c>
      <c r="K18">
        <f t="shared" si="2"/>
        <v>0.73271830880808619</v>
      </c>
    </row>
    <row r="19" spans="1:11" x14ac:dyDescent="0.35">
      <c r="A19" t="s">
        <v>2</v>
      </c>
      <c r="B19">
        <v>56</v>
      </c>
      <c r="C19">
        <v>0</v>
      </c>
      <c r="D19">
        <v>0</v>
      </c>
      <c r="F19" s="7"/>
      <c r="G19" s="7"/>
      <c r="J19">
        <f>B19+C19/60+D19/3600</f>
        <v>56</v>
      </c>
      <c r="K19">
        <f t="shared" si="2"/>
        <v>0.97738438111682457</v>
      </c>
    </row>
    <row r="20" spans="1:11" x14ac:dyDescent="0.35">
      <c r="A20" t="s">
        <v>16</v>
      </c>
      <c r="B20" s="10">
        <f t="shared" ref="B20" si="3">INT(J20)</f>
        <v>55</v>
      </c>
      <c r="C20" s="10">
        <f>INT(60*(J20-B20))</f>
        <v>38</v>
      </c>
      <c r="D20" s="11">
        <f>3600*(J20-B20-C20/60)</f>
        <v>54.328184611442332</v>
      </c>
      <c r="J20">
        <f>DEGREES(K20)</f>
        <v>55.648424495725401</v>
      </c>
      <c r="K20">
        <f>ACOS(SIN(K17)*SIN(K18)+COS(K17)*COS(K18)*_xlfn.SEC(K15)*_xlfn.SEC(K16)*(COS(K19)-SIN(K15)*SIN(K16)))</f>
        <v>0.97124823099787339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5E942-533D-4DF4-A716-49FC21D54C8B}">
  <dimension ref="A1:P27"/>
  <sheetViews>
    <sheetView workbookViewId="0">
      <selection activeCell="F22" sqref="F22"/>
    </sheetView>
  </sheetViews>
  <sheetFormatPr defaultRowHeight="14.5" x14ac:dyDescent="0.35"/>
  <cols>
    <col min="6" max="6" width="10.81640625" customWidth="1"/>
  </cols>
  <sheetData>
    <row r="1" spans="1:16" x14ac:dyDescent="0.35">
      <c r="A1" t="s">
        <v>36</v>
      </c>
    </row>
    <row r="3" spans="1:16" x14ac:dyDescent="0.35">
      <c r="A3" t="s">
        <v>12</v>
      </c>
      <c r="B3" s="12" t="s">
        <v>39</v>
      </c>
      <c r="C3" s="13" t="s">
        <v>40</v>
      </c>
      <c r="D3" s="13" t="s">
        <v>41</v>
      </c>
    </row>
    <row r="4" spans="1:16" x14ac:dyDescent="0.35">
      <c r="A4" t="s">
        <v>6</v>
      </c>
      <c r="C4">
        <v>57</v>
      </c>
      <c r="D4">
        <v>0</v>
      </c>
      <c r="F4" t="s">
        <v>8</v>
      </c>
      <c r="G4">
        <f>ROUND(LOG10(3/O4),4)</f>
        <v>0.49940000000000001</v>
      </c>
      <c r="I4" t="s">
        <v>8</v>
      </c>
      <c r="J4">
        <f>ROUND(LOG10(3/O4),4)</f>
        <v>0.49940000000000001</v>
      </c>
      <c r="O4">
        <f>B4+C4/60+D4/3600</f>
        <v>0.95</v>
      </c>
    </row>
    <row r="5" spans="1:16" x14ac:dyDescent="0.35">
      <c r="A5" t="s">
        <v>0</v>
      </c>
      <c r="B5">
        <v>38</v>
      </c>
      <c r="C5">
        <v>0</v>
      </c>
      <c r="D5">
        <v>0</v>
      </c>
      <c r="I5" t="s">
        <v>9</v>
      </c>
      <c r="J5">
        <f>ROUND(LOG10(_xlfn.CSC(P5)),4)</f>
        <v>0.2107</v>
      </c>
      <c r="O5">
        <f>B5+C5/60+D5/3600</f>
        <v>38</v>
      </c>
      <c r="P5">
        <f>RADIANS(O5)</f>
        <v>0.66322511575784526</v>
      </c>
    </row>
    <row r="6" spans="1:16" x14ac:dyDescent="0.35">
      <c r="A6" t="s">
        <v>1</v>
      </c>
      <c r="B6">
        <v>18</v>
      </c>
      <c r="C6">
        <v>0</v>
      </c>
      <c r="D6">
        <v>0</v>
      </c>
      <c r="F6" t="s">
        <v>9</v>
      </c>
      <c r="G6" s="5">
        <f>ROUND(LOG10(_xlfn.CSC(P6)),4)</f>
        <v>0.51</v>
      </c>
      <c r="O6">
        <f t="shared" ref="O6:O7" si="0">B6+C6/60+D6/3600</f>
        <v>18</v>
      </c>
      <c r="P6">
        <f t="shared" ref="P6:P7" si="1">RADIANS(O6)</f>
        <v>0.31415926535897931</v>
      </c>
    </row>
    <row r="7" spans="1:16" ht="15" thickBot="1" x14ac:dyDescent="0.4">
      <c r="A7" t="s">
        <v>2</v>
      </c>
      <c r="B7">
        <v>56</v>
      </c>
      <c r="C7">
        <v>0</v>
      </c>
      <c r="D7">
        <v>0</v>
      </c>
      <c r="F7" t="s">
        <v>10</v>
      </c>
      <c r="G7" s="4">
        <f>ROUND(10+LOG10(SIN(P7)),4)</f>
        <v>9.9185999999999996</v>
      </c>
      <c r="I7" t="s">
        <v>11</v>
      </c>
      <c r="J7" s="6">
        <f>ROUND(LOG10(TAN(P7)),4)</f>
        <v>0.17100000000000001</v>
      </c>
      <c r="K7" s="7"/>
      <c r="L7" s="7"/>
      <c r="O7">
        <f t="shared" si="0"/>
        <v>56</v>
      </c>
      <c r="P7">
        <f t="shared" si="1"/>
        <v>0.97738438111682457</v>
      </c>
    </row>
    <row r="8" spans="1:16" x14ac:dyDescent="0.35">
      <c r="G8" s="5">
        <f>SUM(G4:G7)-10</f>
        <v>0.92799999999999905</v>
      </c>
      <c r="J8">
        <f>SUM(J4:J7)</f>
        <v>0.88109999999999999</v>
      </c>
    </row>
    <row r="9" spans="1:16" x14ac:dyDescent="0.35">
      <c r="A9" t="s">
        <v>13</v>
      </c>
      <c r="B9">
        <f>INT(O9)</f>
        <v>4</v>
      </c>
      <c r="C9">
        <f>INT(60*(O9-B9))</f>
        <v>38</v>
      </c>
      <c r="D9" s="3">
        <f>3600*(O9-B9-C9/60)</f>
        <v>45.253713496128078</v>
      </c>
      <c r="O9">
        <f>5-3*10^(-G8)</f>
        <v>4.64590380930448</v>
      </c>
    </row>
    <row r="10" spans="1:16" x14ac:dyDescent="0.35">
      <c r="A10" t="s">
        <v>14</v>
      </c>
      <c r="B10">
        <f>INT(O10)</f>
        <v>5</v>
      </c>
      <c r="C10">
        <f>INT(60*(O10-B10))</f>
        <v>23</v>
      </c>
      <c r="D10" s="3">
        <f>3600*(O10-B10-C10/60)</f>
        <v>40.115787373949253</v>
      </c>
      <c r="O10">
        <f>5+3*10^(-J8)</f>
        <v>5.3944766076038748</v>
      </c>
    </row>
    <row r="11" spans="1:16" x14ac:dyDescent="0.35">
      <c r="A11" t="s">
        <v>15</v>
      </c>
      <c r="C11">
        <v>1</v>
      </c>
      <c r="D11">
        <v>48</v>
      </c>
      <c r="F11" t="s">
        <v>18</v>
      </c>
      <c r="O11">
        <f>B11+C11/60+D11/3600</f>
        <v>0.03</v>
      </c>
    </row>
    <row r="12" spans="1:16" ht="15" thickBot="1" x14ac:dyDescent="0.4">
      <c r="B12" s="4">
        <f>O12</f>
        <v>-10</v>
      </c>
      <c r="C12" s="4"/>
      <c r="D12" s="4"/>
      <c r="O12">
        <v>-10</v>
      </c>
    </row>
    <row r="13" spans="1:16" x14ac:dyDescent="0.35">
      <c r="B13">
        <f>INT(O13)</f>
        <v>0</v>
      </c>
      <c r="C13">
        <f>INT(60*(O13-B13))</f>
        <v>4</v>
      </c>
      <c r="D13" s="3">
        <f>3600*(O13-B13-C13/60)</f>
        <v>13.369500870078216</v>
      </c>
      <c r="E13" t="str">
        <f>IF(O13&gt;0,"add","subtract")</f>
        <v>add</v>
      </c>
      <c r="O13">
        <f>SUM(O9:O12)</f>
        <v>7.0380416908355059E-2</v>
      </c>
    </row>
    <row r="14" spans="1:16" x14ac:dyDescent="0.35">
      <c r="A14" t="s">
        <v>16</v>
      </c>
      <c r="B14" s="10">
        <f>INT(O14)</f>
        <v>56</v>
      </c>
      <c r="C14" s="10">
        <f>INT(60*(O14-B14))</f>
        <v>4</v>
      </c>
      <c r="D14" s="11">
        <f>3600*(O14-B14-C14/60)</f>
        <v>13.369500870084611</v>
      </c>
      <c r="O14">
        <f>O7+O13</f>
        <v>56.070380416908357</v>
      </c>
    </row>
    <row r="16" spans="1:16" x14ac:dyDescent="0.35">
      <c r="A16" t="s">
        <v>17</v>
      </c>
    </row>
    <row r="17" spans="1:16" x14ac:dyDescent="0.35">
      <c r="A17" t="s">
        <v>6</v>
      </c>
      <c r="C17">
        <v>57</v>
      </c>
      <c r="D17">
        <v>0</v>
      </c>
      <c r="F17" t="s">
        <v>8</v>
      </c>
      <c r="G17">
        <f>ROUND(LOG10(3/O17),4)</f>
        <v>0.49940000000000001</v>
      </c>
      <c r="I17" t="s">
        <v>8</v>
      </c>
      <c r="J17">
        <f>ROUND(LOG10(3/O17),4)</f>
        <v>0.49940000000000001</v>
      </c>
      <c r="O17">
        <f>B17+C17/60+D17/3600</f>
        <v>0.95</v>
      </c>
    </row>
    <row r="18" spans="1:16" x14ac:dyDescent="0.35">
      <c r="A18" t="s">
        <v>0</v>
      </c>
      <c r="B18">
        <v>38</v>
      </c>
      <c r="C18">
        <v>0</v>
      </c>
      <c r="D18">
        <v>0</v>
      </c>
      <c r="I18" t="s">
        <v>9</v>
      </c>
      <c r="J18">
        <f>ROUND(LOG10(_xlfn.CSC(P18)),4)</f>
        <v>0.2107</v>
      </c>
      <c r="O18">
        <f>B18+C18/60+D18/3600</f>
        <v>38</v>
      </c>
      <c r="P18">
        <f>RADIANS(O18)</f>
        <v>0.66322511575784526</v>
      </c>
    </row>
    <row r="19" spans="1:16" x14ac:dyDescent="0.35">
      <c r="A19" t="s">
        <v>1</v>
      </c>
      <c r="B19">
        <v>42</v>
      </c>
      <c r="C19">
        <v>0</v>
      </c>
      <c r="D19">
        <v>0</v>
      </c>
      <c r="F19" t="s">
        <v>9</v>
      </c>
      <c r="G19" s="5">
        <f>ROUND(LOG10(_xlfn.CSC(P19)),4)</f>
        <v>0.17449999999999999</v>
      </c>
      <c r="O19">
        <f t="shared" ref="O19:O20" si="2">B19+C19/60+D19/3600</f>
        <v>42</v>
      </c>
      <c r="P19">
        <f t="shared" ref="P19:P20" si="3">RADIANS(O19)</f>
        <v>0.73303828583761843</v>
      </c>
    </row>
    <row r="20" spans="1:16" ht="15" thickBot="1" x14ac:dyDescent="0.4">
      <c r="A20" t="s">
        <v>2</v>
      </c>
      <c r="B20">
        <v>56</v>
      </c>
      <c r="C20">
        <v>0</v>
      </c>
      <c r="D20">
        <v>0</v>
      </c>
      <c r="F20" t="s">
        <v>10</v>
      </c>
      <c r="G20" s="4">
        <f>ROUND(10+LOG10(SIN(P20)),4)</f>
        <v>9.9185999999999996</v>
      </c>
      <c r="I20" t="s">
        <v>11</v>
      </c>
      <c r="J20" s="6">
        <f>ROUND(LOG10(TAN(P20)),4)</f>
        <v>0.17100000000000001</v>
      </c>
      <c r="K20" s="7"/>
      <c r="L20" s="7"/>
      <c r="O20">
        <f t="shared" si="2"/>
        <v>56</v>
      </c>
      <c r="P20">
        <f t="shared" si="3"/>
        <v>0.97738438111682457</v>
      </c>
    </row>
    <row r="21" spans="1:16" x14ac:dyDescent="0.35">
      <c r="G21" s="5">
        <f>SUM(G17:G20)-10</f>
        <v>0.59249999999999936</v>
      </c>
      <c r="J21">
        <f>SUM(J17:J20)</f>
        <v>0.88109999999999999</v>
      </c>
    </row>
    <row r="22" spans="1:16" x14ac:dyDescent="0.35">
      <c r="A22" t="s">
        <v>13</v>
      </c>
      <c r="B22">
        <f>INT(O22)</f>
        <v>4</v>
      </c>
      <c r="C22">
        <f>INT(60*(O22-B22))</f>
        <v>13</v>
      </c>
      <c r="D22" s="3">
        <f>3600*(O22-B22-C22/60)</f>
        <v>59.906746850727231</v>
      </c>
      <c r="O22">
        <f>5-3*10^(-G21)</f>
        <v>4.2333074296807576</v>
      </c>
    </row>
    <row r="23" spans="1:16" x14ac:dyDescent="0.35">
      <c r="A23" t="s">
        <v>14</v>
      </c>
      <c r="B23">
        <f>INT(O23)</f>
        <v>5</v>
      </c>
      <c r="C23">
        <f>INT(60*(O23-B23))</f>
        <v>23</v>
      </c>
      <c r="D23" s="3">
        <f>3600*(O23-B23-C23/60)</f>
        <v>40.115787373949253</v>
      </c>
      <c r="O23">
        <f>5+3*10^(-J21)</f>
        <v>5.3944766076038748</v>
      </c>
    </row>
    <row r="24" spans="1:16" x14ac:dyDescent="0.35">
      <c r="A24" t="s">
        <v>15</v>
      </c>
      <c r="C24">
        <v>1</v>
      </c>
      <c r="D24">
        <v>11</v>
      </c>
      <c r="F24" t="s">
        <v>18</v>
      </c>
      <c r="O24">
        <f>B24+C24/60+D24/3600</f>
        <v>1.9722222222222221E-2</v>
      </c>
    </row>
    <row r="25" spans="1:16" ht="15" thickBot="1" x14ac:dyDescent="0.4">
      <c r="B25" s="4">
        <f>O25</f>
        <v>-10</v>
      </c>
      <c r="C25" s="4"/>
      <c r="D25" s="4"/>
      <c r="O25">
        <v>-10</v>
      </c>
    </row>
    <row r="26" spans="1:16" x14ac:dyDescent="0.35">
      <c r="B26">
        <f>INT(ABS(O26))</f>
        <v>0</v>
      </c>
      <c r="C26">
        <f>INT(60*(ABS(O26)-B26))</f>
        <v>21</v>
      </c>
      <c r="D26" s="3">
        <f>3600*(ABS(O26)-B26-C26/60)</f>
        <v>8.9774657753219689</v>
      </c>
      <c r="E26" t="str">
        <f>IF(O26&gt;0,"add","subtract")</f>
        <v>subtract</v>
      </c>
      <c r="O26">
        <f>SUM(O22:O25)</f>
        <v>-0.35249374049314497</v>
      </c>
    </row>
    <row r="27" spans="1:16" x14ac:dyDescent="0.35">
      <c r="A27" t="s">
        <v>16</v>
      </c>
      <c r="B27" s="10">
        <f>INT(O27)</f>
        <v>55</v>
      </c>
      <c r="C27" s="10">
        <f>INT(60*(O27-B27))</f>
        <v>38</v>
      </c>
      <c r="D27" s="11">
        <f>3600*(O27-B27-C27/60)</f>
        <v>51.022534224678218</v>
      </c>
      <c r="O27">
        <f>O20+O26</f>
        <v>55.647506259506855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A2384-C6A3-44EF-A8D5-532D7BBA5B5F}">
  <dimension ref="A1:M21"/>
  <sheetViews>
    <sheetView workbookViewId="0">
      <selection activeCell="G23" sqref="G23"/>
    </sheetView>
  </sheetViews>
  <sheetFormatPr defaultRowHeight="14.5" x14ac:dyDescent="0.35"/>
  <cols>
    <col min="1" max="1" width="10.54296875" customWidth="1"/>
  </cols>
  <sheetData>
    <row r="1" spans="1:13" x14ac:dyDescent="0.35">
      <c r="A1" t="s">
        <v>37</v>
      </c>
    </row>
    <row r="3" spans="1:13" x14ac:dyDescent="0.35">
      <c r="A3" t="s">
        <v>12</v>
      </c>
      <c r="B3" s="12" t="s">
        <v>39</v>
      </c>
      <c r="C3" s="13" t="s">
        <v>40</v>
      </c>
      <c r="D3" s="13" t="s">
        <v>41</v>
      </c>
    </row>
    <row r="4" spans="1:13" x14ac:dyDescent="0.35">
      <c r="A4" t="s">
        <v>6</v>
      </c>
      <c r="C4">
        <v>57</v>
      </c>
      <c r="D4">
        <v>0</v>
      </c>
      <c r="L4">
        <f>B4+C4/60+D4/3600</f>
        <v>0.95</v>
      </c>
    </row>
    <row r="5" spans="1:13" x14ac:dyDescent="0.35">
      <c r="A5" t="s">
        <v>0</v>
      </c>
      <c r="B5">
        <v>38</v>
      </c>
      <c r="C5">
        <v>0</v>
      </c>
      <c r="D5">
        <v>0</v>
      </c>
      <c r="F5" t="s">
        <v>27</v>
      </c>
      <c r="G5">
        <f>2*SIN((PI()/2-M5)/2)</f>
        <v>0.87674229357815481</v>
      </c>
      <c r="L5">
        <f t="shared" ref="L5:L7" si="0">B5+C5/60+D5/3600</f>
        <v>38</v>
      </c>
      <c r="M5">
        <f>RADIANS(L5)</f>
        <v>0.66322511575784526</v>
      </c>
    </row>
    <row r="6" spans="1:13" x14ac:dyDescent="0.35">
      <c r="A6" t="s">
        <v>1</v>
      </c>
      <c r="B6">
        <v>18</v>
      </c>
      <c r="C6">
        <v>0</v>
      </c>
      <c r="D6">
        <v>0</v>
      </c>
      <c r="F6" t="s">
        <v>28</v>
      </c>
      <c r="G6">
        <f>2*SIN((PI()/2-M6)/2)</f>
        <v>1.1755705045849463</v>
      </c>
      <c r="L6">
        <f t="shared" si="0"/>
        <v>18</v>
      </c>
      <c r="M6">
        <f t="shared" ref="M6:M7" si="1">RADIANS(L6)</f>
        <v>0.31415926535897931</v>
      </c>
    </row>
    <row r="7" spans="1:13" x14ac:dyDescent="0.35">
      <c r="A7" t="s">
        <v>2</v>
      </c>
      <c r="B7">
        <v>56</v>
      </c>
      <c r="C7">
        <v>0</v>
      </c>
      <c r="D7">
        <v>0</v>
      </c>
      <c r="F7" t="s">
        <v>29</v>
      </c>
      <c r="G7">
        <f>2*SIN(M7/2)</f>
        <v>0.93894312557178161</v>
      </c>
      <c r="L7">
        <f t="shared" si="0"/>
        <v>56</v>
      </c>
      <c r="M7">
        <f t="shared" si="1"/>
        <v>0.97738438111682457</v>
      </c>
    </row>
    <row r="8" spans="1:13" x14ac:dyDescent="0.35">
      <c r="A8" t="s">
        <v>3</v>
      </c>
      <c r="G8">
        <f>SIN(M5)/TAN(M7)-SIN(M6)/SIN(M7)</f>
        <v>4.2527063591138115E-2</v>
      </c>
    </row>
    <row r="9" spans="1:13" x14ac:dyDescent="0.35">
      <c r="A9" s="1" t="s">
        <v>4</v>
      </c>
      <c r="B9">
        <f>INT(L9)</f>
        <v>2</v>
      </c>
      <c r="C9">
        <f>INT(60*(L9-B9))</f>
        <v>26</v>
      </c>
      <c r="D9" s="3">
        <f>3600*(L9-B9-C9/60)</f>
        <v>12.497679533780381</v>
      </c>
      <c r="L9">
        <f>DEGREES(M9)</f>
        <v>2.4368049109816057</v>
      </c>
      <c r="M9">
        <f>2*ASIN(G8/2)</f>
        <v>4.2530268925396346E-2</v>
      </c>
    </row>
    <row r="10" spans="1:13" x14ac:dyDescent="0.35">
      <c r="A10" s="1" t="s">
        <v>5</v>
      </c>
      <c r="B10">
        <f>INT(L10)</f>
        <v>0</v>
      </c>
      <c r="C10">
        <f>INT(60*(L10-B10))</f>
        <v>2</v>
      </c>
      <c r="D10" s="3">
        <f>3600*(L10-B10-C10/60)</f>
        <v>37.242882935039454</v>
      </c>
      <c r="L10">
        <f>L9/53*L4</f>
        <v>4.3678578593066515E-2</v>
      </c>
    </row>
    <row r="11" spans="1:13" x14ac:dyDescent="0.35">
      <c r="A11" s="1" t="s">
        <v>16</v>
      </c>
      <c r="B11" s="10">
        <f>INT(L11)</f>
        <v>56</v>
      </c>
      <c r="C11" s="10">
        <f>INT(60*(L11-B11))</f>
        <v>2</v>
      </c>
      <c r="D11" s="11">
        <f>3600*(L11-B11-C11/60)</f>
        <v>37.242882935040029</v>
      </c>
      <c r="L11">
        <f>L7+L10</f>
        <v>56.043678578593067</v>
      </c>
    </row>
    <row r="13" spans="1:13" x14ac:dyDescent="0.35">
      <c r="A13" t="s">
        <v>17</v>
      </c>
    </row>
    <row r="14" spans="1:13" x14ac:dyDescent="0.35">
      <c r="A14" t="s">
        <v>6</v>
      </c>
      <c r="C14">
        <v>57</v>
      </c>
      <c r="D14">
        <v>0</v>
      </c>
      <c r="L14">
        <f>B14+C14/60+D14/3600</f>
        <v>0.95</v>
      </c>
    </row>
    <row r="15" spans="1:13" x14ac:dyDescent="0.35">
      <c r="A15" t="s">
        <v>0</v>
      </c>
      <c r="B15">
        <v>38</v>
      </c>
      <c r="C15">
        <v>0</v>
      </c>
      <c r="D15">
        <v>0</v>
      </c>
      <c r="F15" t="s">
        <v>27</v>
      </c>
      <c r="G15">
        <f>2*SIN((PI()/2-M15)/2)</f>
        <v>0.87674229357815481</v>
      </c>
      <c r="L15">
        <f t="shared" ref="L15:L17" si="2">B15+C15/60+D15/3600</f>
        <v>38</v>
      </c>
      <c r="M15">
        <f>RADIANS(L15)</f>
        <v>0.66322511575784526</v>
      </c>
    </row>
    <row r="16" spans="1:13" x14ac:dyDescent="0.35">
      <c r="A16" t="s">
        <v>1</v>
      </c>
      <c r="B16">
        <v>42</v>
      </c>
      <c r="C16">
        <v>0</v>
      </c>
      <c r="D16">
        <v>0</v>
      </c>
      <c r="F16" t="s">
        <v>28</v>
      </c>
      <c r="G16">
        <f>2*SIN((PI()/2-M16)/2)</f>
        <v>0.81347328615160031</v>
      </c>
      <c r="L16">
        <f t="shared" si="2"/>
        <v>42</v>
      </c>
      <c r="M16">
        <f t="shared" ref="M16:M17" si="3">RADIANS(L16)</f>
        <v>0.73303828583761843</v>
      </c>
    </row>
    <row r="17" spans="1:13" x14ac:dyDescent="0.35">
      <c r="A17" t="s">
        <v>2</v>
      </c>
      <c r="B17">
        <v>56</v>
      </c>
      <c r="C17">
        <v>0</v>
      </c>
      <c r="D17">
        <v>0</v>
      </c>
      <c r="F17" t="s">
        <v>29</v>
      </c>
      <c r="G17">
        <f>2*SIN(M17/2)</f>
        <v>0.93894312557178161</v>
      </c>
      <c r="L17">
        <f t="shared" si="2"/>
        <v>56</v>
      </c>
      <c r="M17">
        <f t="shared" si="3"/>
        <v>0.97738438111682457</v>
      </c>
    </row>
    <row r="18" spans="1:13" x14ac:dyDescent="0.35">
      <c r="A18" t="s">
        <v>3</v>
      </c>
      <c r="G18">
        <f>SIN(M16)/SIN(M17)-SIN(M15)/TAN(M17)</f>
        <v>0.39184843868442615</v>
      </c>
    </row>
    <row r="19" spans="1:13" x14ac:dyDescent="0.35">
      <c r="A19" s="1" t="s">
        <v>4</v>
      </c>
      <c r="B19">
        <f>INT(L19)</f>
        <v>22</v>
      </c>
      <c r="C19">
        <f>INT(60*(L19-B19))</f>
        <v>35</v>
      </c>
      <c r="D19" s="3">
        <f>3600*(L19-B19-C19/60)</f>
        <v>50.776549846042805</v>
      </c>
      <c r="L19">
        <f>DEGREES(M19)</f>
        <v>22.59743793051279</v>
      </c>
      <c r="M19">
        <f>2*ASIN(G18/2)</f>
        <v>0.39439969440250178</v>
      </c>
    </row>
    <row r="20" spans="1:13" x14ac:dyDescent="0.35">
      <c r="A20" s="1" t="s">
        <v>5</v>
      </c>
      <c r="B20">
        <f>INT(L20)</f>
        <v>0</v>
      </c>
      <c r="C20">
        <f>INT(60*(L20-B20))</f>
        <v>20</v>
      </c>
      <c r="D20" s="3">
        <f>3600*(L20-B20-C20/60)</f>
        <v>46.503834231511966</v>
      </c>
      <c r="L20">
        <f>L19/62*L14</f>
        <v>0.34625106506430886</v>
      </c>
    </row>
    <row r="21" spans="1:13" x14ac:dyDescent="0.35">
      <c r="A21" s="1" t="s">
        <v>16</v>
      </c>
      <c r="B21" s="10">
        <f>INT(L21)</f>
        <v>55</v>
      </c>
      <c r="C21" s="10">
        <f>INT(60*(L21-B21))</f>
        <v>39</v>
      </c>
      <c r="D21" s="11">
        <f>3600*(L21-B21-C21/60)</f>
        <v>13.49616576849022</v>
      </c>
      <c r="L21">
        <f>L17-L20</f>
        <v>55.653748934935692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90528-89F0-4710-9341-46AF65832044}">
  <dimension ref="A1:J30"/>
  <sheetViews>
    <sheetView workbookViewId="0">
      <selection activeCell="L12" sqref="L12"/>
    </sheetView>
  </sheetViews>
  <sheetFormatPr defaultRowHeight="14.5" x14ac:dyDescent="0.35"/>
  <cols>
    <col min="1" max="1" width="26.90625" customWidth="1"/>
  </cols>
  <sheetData>
    <row r="1" spans="1:10" x14ac:dyDescent="0.35">
      <c r="A1" t="s">
        <v>33</v>
      </c>
    </row>
    <row r="2" spans="1:10" x14ac:dyDescent="0.35">
      <c r="A2" t="s">
        <v>22</v>
      </c>
      <c r="B2" s="12" t="s">
        <v>39</v>
      </c>
      <c r="C2" s="13" t="s">
        <v>40</v>
      </c>
      <c r="D2" s="13" t="s">
        <v>41</v>
      </c>
    </row>
    <row r="3" spans="1:10" x14ac:dyDescent="0.35">
      <c r="A3" t="s">
        <v>6</v>
      </c>
      <c r="C3">
        <v>57</v>
      </c>
      <c r="D3">
        <v>17</v>
      </c>
      <c r="I3">
        <f>B3+C3/60+D3/3600</f>
        <v>0.95472222222222214</v>
      </c>
    </row>
    <row r="4" spans="1:10" x14ac:dyDescent="0.35">
      <c r="A4" t="s">
        <v>0</v>
      </c>
      <c r="B4">
        <v>39</v>
      </c>
      <c r="C4">
        <v>30</v>
      </c>
      <c r="D4">
        <v>40</v>
      </c>
      <c r="I4">
        <f>B4+C4/60+D4/3600</f>
        <v>39.511111111111113</v>
      </c>
      <c r="J4">
        <f>RADIANS(I4)</f>
        <v>0.68959898001020403</v>
      </c>
    </row>
    <row r="5" spans="1:10" x14ac:dyDescent="0.35">
      <c r="A5" t="s">
        <v>1</v>
      </c>
      <c r="B5">
        <v>40</v>
      </c>
      <c r="C5">
        <v>10</v>
      </c>
      <c r="D5">
        <v>46</v>
      </c>
      <c r="I5">
        <f t="shared" ref="I5:I6" si="0">B5+C5/60+D5/3600</f>
        <v>40.179444444444442</v>
      </c>
      <c r="J5">
        <f t="shared" ref="J5:J6" si="1">RADIANS(I5)</f>
        <v>0.70126359717769937</v>
      </c>
    </row>
    <row r="6" spans="1:10" x14ac:dyDescent="0.35">
      <c r="A6" t="s">
        <v>2</v>
      </c>
      <c r="B6">
        <v>53</v>
      </c>
      <c r="C6">
        <v>16</v>
      </c>
      <c r="D6">
        <v>58</v>
      </c>
      <c r="I6">
        <f t="shared" si="0"/>
        <v>53.282777777777774</v>
      </c>
      <c r="J6">
        <f t="shared" si="1"/>
        <v>0.92995990683068963</v>
      </c>
    </row>
    <row r="7" spans="1:10" x14ac:dyDescent="0.35">
      <c r="A7" t="s">
        <v>3</v>
      </c>
      <c r="E7" s="5">
        <f>SIN(J5)/SIN(J6)-SIN(J4)/TAN(J6)</f>
        <v>0.33034665853376721</v>
      </c>
    </row>
    <row r="8" spans="1:10" x14ac:dyDescent="0.35">
      <c r="A8" s="1" t="s">
        <v>4</v>
      </c>
      <c r="B8">
        <f>INT(I8)</f>
        <v>19</v>
      </c>
      <c r="C8">
        <f>INT(60*(I8-B8))</f>
        <v>0</v>
      </c>
      <c r="D8" s="3">
        <f>3600*(I8-B8-C8/60)</f>
        <v>52.586371826161837</v>
      </c>
      <c r="I8">
        <f>DEGREES(J8)</f>
        <v>19.014607325507267</v>
      </c>
      <c r="J8">
        <f>2*ASIN(E7/2)</f>
        <v>0.33186750380393498</v>
      </c>
    </row>
    <row r="9" spans="1:10" x14ac:dyDescent="0.35">
      <c r="A9" s="1" t="s">
        <v>7</v>
      </c>
      <c r="B9">
        <f>INT(I9)</f>
        <v>0</v>
      </c>
      <c r="C9">
        <f>INT(60*(I9-B9))</f>
        <v>17</v>
      </c>
      <c r="D9" s="3">
        <f>3600*(I9-B9-C9/60)</f>
        <v>34.083957705943213</v>
      </c>
      <c r="I9">
        <f>I8/62*I3</f>
        <v>0.292801099362762</v>
      </c>
    </row>
    <row r="10" spans="1:10" x14ac:dyDescent="0.35">
      <c r="A10" s="1" t="s">
        <v>16</v>
      </c>
      <c r="B10">
        <f>INT(I10)</f>
        <v>52</v>
      </c>
      <c r="C10">
        <f>INT(60*(I10-B10))</f>
        <v>59</v>
      </c>
      <c r="D10" s="3">
        <f>3600*(I10-B10-C10/60)</f>
        <v>23.916042294042271</v>
      </c>
      <c r="I10">
        <f>I6-I9</f>
        <v>52.989976678415012</v>
      </c>
    </row>
    <row r="11" spans="1:10" x14ac:dyDescent="0.35">
      <c r="A11" s="1" t="s">
        <v>25</v>
      </c>
      <c r="B11">
        <f>INT(I11)</f>
        <v>0</v>
      </c>
      <c r="C11">
        <f>INT(60*(I11-B11))</f>
        <v>19</v>
      </c>
      <c r="D11" s="3">
        <f>3600*(I11-B11-C11/60)</f>
        <v>0.62861057412457733</v>
      </c>
      <c r="I11">
        <f>J8*I3</f>
        <v>0.31684128071503459</v>
      </c>
    </row>
    <row r="12" spans="1:10" x14ac:dyDescent="0.35">
      <c r="A12" s="1" t="s">
        <v>26</v>
      </c>
      <c r="B12">
        <f>INT(I12)</f>
        <v>0</v>
      </c>
      <c r="C12">
        <f>INT(60*(I12-B12))</f>
        <v>1</v>
      </c>
      <c r="D12" s="3">
        <f>3600*(I12-B12-C12/60)</f>
        <v>26.544652868181338</v>
      </c>
      <c r="E12" s="9">
        <f>I12/I11</f>
        <v>7.5874523982543199E-2</v>
      </c>
      <c r="I12">
        <f>I11-I9</f>
        <v>2.4040181352272594E-2</v>
      </c>
    </row>
    <row r="13" spans="1:10" x14ac:dyDescent="0.35">
      <c r="A13" s="1"/>
      <c r="D13" s="3"/>
    </row>
    <row r="14" spans="1:10" x14ac:dyDescent="0.35">
      <c r="A14" t="s">
        <v>21</v>
      </c>
    </row>
    <row r="15" spans="1:10" x14ac:dyDescent="0.35">
      <c r="A15" t="s">
        <v>6</v>
      </c>
      <c r="C15">
        <v>57.3</v>
      </c>
      <c r="D15">
        <v>0</v>
      </c>
      <c r="I15">
        <f>B15+C15/60+D15/3600</f>
        <v>0.95499999999999996</v>
      </c>
    </row>
    <row r="16" spans="1:10" x14ac:dyDescent="0.35">
      <c r="A16" t="s">
        <v>0</v>
      </c>
      <c r="B16">
        <v>39</v>
      </c>
      <c r="C16">
        <v>31</v>
      </c>
      <c r="D16">
        <v>0</v>
      </c>
      <c r="I16">
        <f>B16+C16/60+D16/3600</f>
        <v>39.516666666666666</v>
      </c>
      <c r="J16">
        <f>RADIANS(I16)</f>
        <v>0.68969594274642587</v>
      </c>
    </row>
    <row r="17" spans="1:10" x14ac:dyDescent="0.35">
      <c r="A17" t="s">
        <v>1</v>
      </c>
      <c r="B17">
        <v>40</v>
      </c>
      <c r="C17">
        <v>11</v>
      </c>
      <c r="D17">
        <v>0</v>
      </c>
      <c r="I17">
        <f t="shared" ref="I17:I18" si="2">B17+C17/60+D17/3600</f>
        <v>40.18333333333333</v>
      </c>
      <c r="J17">
        <f t="shared" ref="J17:J18" si="3">RADIANS(I17)</f>
        <v>0.70133147109305471</v>
      </c>
    </row>
    <row r="18" spans="1:10" x14ac:dyDescent="0.35">
      <c r="A18" t="s">
        <v>2</v>
      </c>
      <c r="B18">
        <v>53</v>
      </c>
      <c r="C18">
        <v>17</v>
      </c>
      <c r="D18">
        <v>0</v>
      </c>
      <c r="I18">
        <f t="shared" si="2"/>
        <v>53.283333333333331</v>
      </c>
      <c r="J18">
        <f t="shared" si="3"/>
        <v>0.92996960310431187</v>
      </c>
    </row>
    <row r="19" spans="1:10" x14ac:dyDescent="0.35">
      <c r="A19" t="s">
        <v>3</v>
      </c>
      <c r="E19" s="5">
        <f>SIN(J17)/SIN(J18)-SIN(J16)/TAN(J18)</f>
        <v>0.33035933814058155</v>
      </c>
    </row>
    <row r="20" spans="1:10" x14ac:dyDescent="0.35">
      <c r="A20" s="1" t="s">
        <v>4</v>
      </c>
      <c r="B20">
        <f>INT(I20)</f>
        <v>19</v>
      </c>
      <c r="C20">
        <f>INT(60*(I20-B20))</f>
        <v>0</v>
      </c>
      <c r="D20" s="3">
        <f>3600*(I20-B20-C20/60)</f>
        <v>55.238153276586388</v>
      </c>
      <c r="I20">
        <f>DEGREES(J20)</f>
        <v>19.015343931465718</v>
      </c>
      <c r="J20">
        <f>2*ASIN(E19/2)</f>
        <v>0.33188036000319976</v>
      </c>
    </row>
    <row r="21" spans="1:10" x14ac:dyDescent="0.35">
      <c r="A21" s="1" t="s">
        <v>7</v>
      </c>
      <c r="B21">
        <f>INT(I21)</f>
        <v>0</v>
      </c>
      <c r="C21">
        <f>INT(60*(I21-B21))</f>
        <v>17</v>
      </c>
      <c r="D21" s="3">
        <f>3600*(I21-B21-C21/60)</f>
        <v>34.431490909341122</v>
      </c>
      <c r="I21">
        <f>I20/62*I15</f>
        <v>0.29289763636370586</v>
      </c>
    </row>
    <row r="22" spans="1:10" x14ac:dyDescent="0.35">
      <c r="A22" s="1" t="s">
        <v>16</v>
      </c>
      <c r="B22">
        <f>INT(I22)</f>
        <v>52</v>
      </c>
      <c r="C22" s="8">
        <f>60*(I22-B22)</f>
        <v>59.426141818177598</v>
      </c>
      <c r="D22" s="3"/>
      <c r="I22">
        <f>I18-I21</f>
        <v>52.990435696969627</v>
      </c>
    </row>
    <row r="24" spans="1:10" x14ac:dyDescent="0.35">
      <c r="A24" t="s">
        <v>23</v>
      </c>
    </row>
    <row r="25" spans="1:10" x14ac:dyDescent="0.35">
      <c r="A25" t="s">
        <v>7</v>
      </c>
      <c r="B25">
        <v>0</v>
      </c>
      <c r="C25">
        <v>17</v>
      </c>
      <c r="D25">
        <v>12</v>
      </c>
      <c r="I25">
        <f>B25+C25/60+D25/3600</f>
        <v>0.28666666666666668</v>
      </c>
    </row>
    <row r="26" spans="1:10" x14ac:dyDescent="0.35">
      <c r="A26" t="s">
        <v>6</v>
      </c>
      <c r="C26">
        <v>57</v>
      </c>
      <c r="D26">
        <v>17</v>
      </c>
      <c r="I26">
        <f>B26+C26/60+D26/3600</f>
        <v>0.95472222222222214</v>
      </c>
    </row>
    <row r="27" spans="1:10" x14ac:dyDescent="0.35">
      <c r="A27" s="1" t="s">
        <v>4</v>
      </c>
      <c r="B27">
        <f>INT(I27)</f>
        <v>18</v>
      </c>
      <c r="C27">
        <f>INT(60*(I27-B27))</f>
        <v>36</v>
      </c>
      <c r="D27" s="3">
        <f>3600*(I27-B27-C27/60)</f>
        <v>58.446319464658323</v>
      </c>
      <c r="I27">
        <f>62*I25/I26</f>
        <v>18.616235088740183</v>
      </c>
      <c r="J27">
        <f t="shared" ref="J27" si="4">RADIANS(I27)</f>
        <v>0.32491459662381494</v>
      </c>
    </row>
    <row r="28" spans="1:10" x14ac:dyDescent="0.35">
      <c r="A28" s="1" t="s">
        <v>3</v>
      </c>
      <c r="E28" s="2">
        <f>2*ASIN(J27/2)</f>
        <v>0.32636105353896916</v>
      </c>
    </row>
    <row r="29" spans="1:10" x14ac:dyDescent="0.35">
      <c r="A29" t="s">
        <v>24</v>
      </c>
      <c r="E29" s="9">
        <f>1-E19/E28</f>
        <v>-1.2251108268759747E-2</v>
      </c>
    </row>
    <row r="30" spans="1:10" x14ac:dyDescent="0.35">
      <c r="A30" t="s">
        <v>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Summary</vt:lpstr>
      <vt:lpstr>"Rigorous"</vt:lpstr>
      <vt:lpstr>Bowditch's 2nd method</vt:lpstr>
      <vt:lpstr>Graphical</vt:lpstr>
      <vt:lpstr>Example in Hints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2022-06-01T19:23:19Z</dcterms:created>
  <dcterms:modified xsi:type="dcterms:W3CDTF">2022-06-08T21:20:14Z</dcterms:modified>
</cp:coreProperties>
</file>