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4370"/>
  </bookViews>
  <sheets>
    <sheet name="FIX by Calc" sheetId="1" r:id="rId1"/>
  </sheets>
  <calcPr calcId="125725"/>
</workbook>
</file>

<file path=xl/calcChain.xml><?xml version="1.0" encoding="utf-8"?>
<calcChain xmlns="http://schemas.openxmlformats.org/spreadsheetml/2006/main">
  <c r="B10" i="1"/>
  <c r="P27"/>
  <c r="Q27" s="1"/>
  <c r="I27"/>
  <c r="J27" s="1"/>
  <c r="B27"/>
  <c r="C27" s="1"/>
  <c r="P26"/>
  <c r="I26"/>
  <c r="B26"/>
  <c r="Z25"/>
  <c r="Z31" s="1"/>
  <c r="P25"/>
  <c r="I25"/>
  <c r="B25"/>
  <c r="AA24"/>
  <c r="Z24"/>
  <c r="Z30" s="1"/>
  <c r="P24"/>
  <c r="I24"/>
  <c r="B24"/>
  <c r="O11"/>
  <c r="I32" l="1"/>
  <c r="J32" s="1"/>
  <c r="AA30"/>
  <c r="P32"/>
  <c r="Q32" s="1"/>
  <c r="B32"/>
  <c r="C32" s="1"/>
  <c r="B30"/>
  <c r="I30"/>
  <c r="P30"/>
  <c r="P31" s="1"/>
  <c r="AA25"/>
  <c r="B31"/>
  <c r="I31"/>
  <c r="Q31" l="1"/>
  <c r="P33" s="1"/>
  <c r="C31"/>
  <c r="B33" s="1"/>
  <c r="J31"/>
  <c r="I33" s="1"/>
  <c r="B34" l="1"/>
  <c r="C33"/>
  <c r="B35" s="1"/>
  <c r="D13"/>
  <c r="E13" s="1"/>
  <c r="J33"/>
  <c r="I35" s="1"/>
  <c r="K13"/>
  <c r="L13" s="1"/>
  <c r="I34"/>
  <c r="Q33"/>
  <c r="P35" s="1"/>
  <c r="R13"/>
  <c r="S13" s="1"/>
  <c r="P34"/>
  <c r="Q35" l="1"/>
  <c r="P36"/>
  <c r="J35"/>
  <c r="I36"/>
  <c r="E15"/>
  <c r="D15"/>
  <c r="C35"/>
  <c r="B36"/>
  <c r="L15"/>
  <c r="K15"/>
  <c r="S15"/>
  <c r="R15"/>
  <c r="D14" l="1"/>
  <c r="AG2" s="1"/>
  <c r="C36"/>
  <c r="Q36"/>
  <c r="R14"/>
  <c r="AG4" s="1"/>
  <c r="K14"/>
  <c r="AG3" s="1"/>
  <c r="J36"/>
  <c r="AI3" l="1"/>
  <c r="AI2"/>
  <c r="W32"/>
  <c r="W31"/>
  <c r="W30"/>
  <c r="W33"/>
  <c r="W34"/>
  <c r="W35" l="1"/>
  <c r="Z33" s="1"/>
  <c r="AI4"/>
  <c r="AI6" s="1"/>
  <c r="AH33" l="1"/>
  <c r="AJ33" s="1"/>
  <c r="Z39"/>
  <c r="AL33"/>
  <c r="Z34"/>
  <c r="Z35" l="1"/>
  <c r="AH35"/>
  <c r="AJ35" s="1"/>
  <c r="Z40"/>
  <c r="AL35"/>
  <c r="P41"/>
  <c r="Q41" s="1"/>
  <c r="B41"/>
  <c r="C41" s="1"/>
  <c r="I41"/>
  <c r="J41" s="1"/>
  <c r="AA39"/>
  <c r="P39" l="1"/>
  <c r="P40" s="1"/>
  <c r="B39"/>
  <c r="B40" s="1"/>
  <c r="I39"/>
  <c r="I40" s="1"/>
  <c r="C40" l="1"/>
  <c r="B42" s="1"/>
  <c r="J40"/>
  <c r="I42" s="1"/>
  <c r="Q40"/>
  <c r="P42" s="1"/>
  <c r="C42" l="1"/>
  <c r="B44" s="1"/>
  <c r="B43"/>
  <c r="Q42"/>
  <c r="P44" s="1"/>
  <c r="P43"/>
  <c r="J42"/>
  <c r="I44" s="1"/>
  <c r="I43"/>
  <c r="J44" l="1"/>
  <c r="I45"/>
  <c r="Q44"/>
  <c r="P45"/>
  <c r="Q45" s="1"/>
  <c r="C44"/>
  <c r="B45"/>
  <c r="J45" l="1"/>
  <c r="AG12"/>
  <c r="F8" s="1"/>
  <c r="AG10"/>
  <c r="F4" s="1"/>
  <c r="AG11"/>
  <c r="F6" s="1"/>
  <c r="C45"/>
  <c r="W39" l="1"/>
  <c r="W41"/>
  <c r="W40"/>
  <c r="W42"/>
  <c r="W43"/>
  <c r="W44" l="1"/>
  <c r="Z42" s="1"/>
  <c r="Z43"/>
  <c r="Z48" l="1"/>
  <c r="AL42"/>
  <c r="AH42"/>
  <c r="AJ42" s="1"/>
  <c r="Z49"/>
  <c r="AL44"/>
  <c r="Z44"/>
  <c r="AH44"/>
  <c r="AJ44" s="1"/>
  <c r="I50" l="1"/>
  <c r="J50" s="1"/>
  <c r="AA48"/>
  <c r="P50"/>
  <c r="Q50" s="1"/>
  <c r="B50"/>
  <c r="C50" s="1"/>
  <c r="B48"/>
  <c r="B49" s="1"/>
  <c r="I48"/>
  <c r="I49" s="1"/>
  <c r="P48"/>
  <c r="P49" s="1"/>
  <c r="Q49" l="1"/>
  <c r="P51" s="1"/>
  <c r="C49"/>
  <c r="B51" s="1"/>
  <c r="J49"/>
  <c r="I51" s="1"/>
  <c r="C51" l="1"/>
  <c r="B53" s="1"/>
  <c r="B52"/>
  <c r="Q51"/>
  <c r="P53" s="1"/>
  <c r="P52"/>
  <c r="J51"/>
  <c r="I53" s="1"/>
  <c r="I52"/>
  <c r="J53" l="1"/>
  <c r="I54"/>
  <c r="J54" s="1"/>
  <c r="C53"/>
  <c r="B54"/>
  <c r="C54" s="1"/>
  <c r="W52"/>
  <c r="W51"/>
  <c r="Q53"/>
  <c r="P54"/>
  <c r="Q54" s="1"/>
  <c r="W50" l="1"/>
  <c r="W49"/>
  <c r="W48"/>
  <c r="Z51" l="1"/>
  <c r="W53"/>
  <c r="Z52"/>
  <c r="AH51" l="1"/>
  <c r="AJ51" s="1"/>
  <c r="Z57"/>
  <c r="AL51"/>
  <c r="M8"/>
  <c r="Z53"/>
  <c r="M10"/>
  <c r="AH53"/>
  <c r="AJ53"/>
  <c r="Z58"/>
  <c r="AL53"/>
  <c r="P59" l="1"/>
  <c r="Q59" s="1"/>
  <c r="B59"/>
  <c r="C59" s="1"/>
  <c r="I59"/>
  <c r="J59" s="1"/>
  <c r="AA57"/>
  <c r="I57" s="1"/>
  <c r="I58" s="1"/>
  <c r="J58" l="1"/>
  <c r="I60" s="1"/>
  <c r="P57"/>
  <c r="P58" s="1"/>
  <c r="B57"/>
  <c r="B58" s="1"/>
  <c r="C58" l="1"/>
  <c r="B60" s="1"/>
  <c r="J60"/>
  <c r="I62" s="1"/>
  <c r="I61"/>
  <c r="Q58"/>
  <c r="P60" s="1"/>
  <c r="C60" l="1"/>
  <c r="B62" s="1"/>
  <c r="B61"/>
  <c r="J62"/>
  <c r="I63"/>
  <c r="J63" s="1"/>
  <c r="Q60"/>
  <c r="P62" s="1"/>
  <c r="P61"/>
  <c r="Q62" l="1"/>
  <c r="P63"/>
  <c r="Q63" s="1"/>
  <c r="C62"/>
  <c r="B63"/>
  <c r="C63" s="1"/>
  <c r="W60"/>
  <c r="W61"/>
  <c r="W57" l="1"/>
  <c r="W59"/>
  <c r="W58"/>
  <c r="W62" l="1"/>
  <c r="Z60" s="1"/>
  <c r="AH60" l="1"/>
  <c r="AJ60"/>
  <c r="AL60"/>
  <c r="I8"/>
  <c r="K8" s="1"/>
  <c r="AA60"/>
  <c r="Z68" s="1"/>
  <c r="Z61"/>
  <c r="Z62" l="1"/>
  <c r="AA61"/>
  <c r="AH62"/>
  <c r="AJ62" s="1"/>
  <c r="Z64"/>
  <c r="P8" s="1"/>
  <c r="I10"/>
  <c r="Z66"/>
  <c r="Z67" s="1"/>
  <c r="AA67" s="1"/>
  <c r="Z69" s="1"/>
  <c r="P10" s="1"/>
  <c r="AL62"/>
  <c r="K10"/>
</calcChain>
</file>

<file path=xl/comments1.xml><?xml version="1.0" encoding="utf-8"?>
<comments xmlns="http://schemas.openxmlformats.org/spreadsheetml/2006/main">
  <authors>
    <author xml:space="preserve">Ron 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
Copyright 2004-2015, by P/C Ronald T. Jones, SN, a member of the United States Power Squadrons®, District 16, North Olympic Sail and Power Squadron - All rights reserved. 
Fix y DC .. Two or 3 Body Fix by direct calculation
This worksheet provides the calculations needed to establish the latitude &amp; longitude of a fix from the intercepts, and Azimuths from two or three celestial sights.  See Nautical Almanac pages 282 &amp; 283 for details on this method. 
See worksheet "About This Workbook" for additional information.</t>
        </r>
      </text>
    </comment>
    <comment ref="AH6" authorId="0">
      <text>
        <r>
          <rPr>
            <sz val="14"/>
            <color indexed="81"/>
            <rFont val="Arial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 xml:space="preserve">For a three body fix the azimuth spread should exceed 210 deg. 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
Plot LOP from DR position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
Plot LOP from DR position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
Plot LOP from DR position</t>
        </r>
      </text>
    </comment>
    <comment ref="Y35" authorId="0">
      <text>
        <r>
          <rPr>
            <sz val="9"/>
            <color indexed="81"/>
            <rFont val="Tahoma"/>
            <family val="2"/>
          </rPr>
          <t xml:space="preserve">
Diatance between DR position and the 1st estimate of Fix position.</t>
        </r>
      </text>
    </comment>
    <comment ref="Y44" authorId="0">
      <text>
        <r>
          <rPr>
            <sz val="9"/>
            <color indexed="81"/>
            <rFont val="Tahoma"/>
            <family val="2"/>
          </rPr>
          <t xml:space="preserve">
Diatance between 1st estimate of Fix position and the 2nd estimate of Fix position.</t>
        </r>
      </text>
    </comment>
    <comment ref="Y53" authorId="0">
      <text>
        <r>
          <rPr>
            <sz val="9"/>
            <color indexed="81"/>
            <rFont val="Tahoma"/>
            <family val="2"/>
          </rPr>
          <t xml:space="preserve">
Diatance between 2nd estimate of Fix position and the 3rd estimate of Fix position.</t>
        </r>
      </text>
    </comment>
    <comment ref="Y62" authorId="0">
      <text>
        <r>
          <rPr>
            <sz val="9"/>
            <color indexed="81"/>
            <rFont val="Tahoma"/>
            <family val="2"/>
          </rPr>
          <t xml:space="preserve">
Diatance between 3rd estimate of Fix position and the 4th estimate of Fix position.</t>
        </r>
      </text>
    </comment>
  </commentList>
</comments>
</file>

<file path=xl/sharedStrings.xml><?xml version="1.0" encoding="utf-8"?>
<sst xmlns="http://schemas.openxmlformats.org/spreadsheetml/2006/main" count="485" uniqueCount="168">
  <si>
    <t>Ho</t>
  </si>
  <si>
    <t>GHA</t>
  </si>
  <si>
    <t>Hc</t>
  </si>
  <si>
    <t>A</t>
  </si>
  <si>
    <t>B</t>
  </si>
  <si>
    <t>C</t>
  </si>
  <si>
    <t>D</t>
  </si>
  <si>
    <t>E</t>
  </si>
  <si>
    <t>deg.</t>
  </si>
  <si>
    <t>n mi</t>
  </si>
  <si>
    <t>Body</t>
  </si>
  <si>
    <t>SUN</t>
  </si>
  <si>
    <t>MOON</t>
  </si>
  <si>
    <t>VENUS</t>
  </si>
  <si>
    <t>MARS</t>
  </si>
  <si>
    <t>JUPITER</t>
  </si>
  <si>
    <t>SATURN</t>
  </si>
  <si>
    <t xml:space="preserve">Acamar         </t>
  </si>
  <si>
    <t xml:space="preserve">ACHRNAR       </t>
  </si>
  <si>
    <t xml:space="preserve">ACRUX        </t>
  </si>
  <si>
    <t xml:space="preserve">ALDDEBARAN      </t>
  </si>
  <si>
    <t xml:space="preserve">Alioth         </t>
  </si>
  <si>
    <t xml:space="preserve">Alkaid         </t>
  </si>
  <si>
    <t xml:space="preserve">Al Na'ir       </t>
  </si>
  <si>
    <t xml:space="preserve">Alnilam        </t>
  </si>
  <si>
    <t xml:space="preserve">Alphard        </t>
  </si>
  <si>
    <t xml:space="preserve">Alphecca       </t>
  </si>
  <si>
    <t xml:space="preserve">Alpheratz      </t>
  </si>
  <si>
    <t xml:space="preserve">ALTAIR         </t>
  </si>
  <si>
    <t xml:space="preserve">Ankaa          </t>
  </si>
  <si>
    <t xml:space="preserve">ANTARES        </t>
  </si>
  <si>
    <t xml:space="preserve">ARCTURUS       </t>
  </si>
  <si>
    <t xml:space="preserve">Atria          </t>
  </si>
  <si>
    <t xml:space="preserve">Avior          </t>
  </si>
  <si>
    <t xml:space="preserve">Bellatrix      </t>
  </si>
  <si>
    <t xml:space="preserve">BETELGEUSE    </t>
  </si>
  <si>
    <t xml:space="preserve">CANOPUS       </t>
  </si>
  <si>
    <t xml:space="preserve">CAPELLA       </t>
  </si>
  <si>
    <t xml:space="preserve">DENEB          </t>
  </si>
  <si>
    <t xml:space="preserve">Denebola       </t>
  </si>
  <si>
    <t xml:space="preserve">Diphda         </t>
  </si>
  <si>
    <t xml:space="preserve">Dubhe          </t>
  </si>
  <si>
    <t xml:space="preserve">Elnath         </t>
  </si>
  <si>
    <t xml:space="preserve">Eltanin        </t>
  </si>
  <si>
    <t xml:space="preserve">Enif           </t>
  </si>
  <si>
    <t xml:space="preserve">FOMALHAUT      </t>
  </si>
  <si>
    <t xml:space="preserve">Gacrux         </t>
  </si>
  <si>
    <t xml:space="preserve">Gienah         </t>
  </si>
  <si>
    <t xml:space="preserve">HADAR          </t>
  </si>
  <si>
    <t xml:space="preserve">Hamal          </t>
  </si>
  <si>
    <t xml:space="preserve">Kaus Australis </t>
  </si>
  <si>
    <t xml:space="preserve">Kochab         </t>
  </si>
  <si>
    <t xml:space="preserve">Markab         </t>
  </si>
  <si>
    <t xml:space="preserve">Menkar         </t>
  </si>
  <si>
    <t xml:space="preserve">Menkent        </t>
  </si>
  <si>
    <t xml:space="preserve">Miaplacidus    </t>
  </si>
  <si>
    <t xml:space="preserve">Mirfak         </t>
  </si>
  <si>
    <t xml:space="preserve">Nunki          </t>
  </si>
  <si>
    <t xml:space="preserve">Peacock        </t>
  </si>
  <si>
    <t xml:space="preserve">POLLUX       </t>
  </si>
  <si>
    <t xml:space="preserve">PROCYON        </t>
  </si>
  <si>
    <t xml:space="preserve">Rasalhague     </t>
  </si>
  <si>
    <t xml:space="preserve">REGULUS        </t>
  </si>
  <si>
    <t xml:space="preserve">RIGEL       </t>
  </si>
  <si>
    <t>RIGIL KENTAURUS</t>
  </si>
  <si>
    <t xml:space="preserve">Sabik          </t>
  </si>
  <si>
    <t xml:space="preserve">Schedar        </t>
  </si>
  <si>
    <t xml:space="preserve">Shaula         </t>
  </si>
  <si>
    <t xml:space="preserve">SIRIUS         </t>
  </si>
  <si>
    <t xml:space="preserve">SPICA    </t>
  </si>
  <si>
    <t xml:space="preserve">Suhail         </t>
  </si>
  <si>
    <t xml:space="preserve">VEGA     </t>
  </si>
  <si>
    <t xml:space="preserve">Zubenelgenubi  </t>
  </si>
  <si>
    <t>Time of Observation</t>
  </si>
  <si>
    <t>T (Course)</t>
  </si>
  <si>
    <t>V (Speed)</t>
  </si>
  <si>
    <t>knots</t>
  </si>
  <si>
    <t>Z</t>
  </si>
  <si>
    <t>Time of Fix</t>
  </si>
  <si>
    <t xml:space="preserve">DR Lo </t>
  </si>
  <si>
    <t>N</t>
  </si>
  <si>
    <t>W</t>
  </si>
  <si>
    <t>S</t>
  </si>
  <si>
    <t>hours</t>
  </si>
  <si>
    <t>LHA</t>
  </si>
  <si>
    <t>LAT</t>
  </si>
  <si>
    <t>DEC</t>
  </si>
  <si>
    <t>Zn</t>
  </si>
  <si>
    <t>Rad.</t>
  </si>
  <si>
    <t>G</t>
  </si>
  <si>
    <t>Number of Bodies</t>
  </si>
  <si>
    <t xml:space="preserve">d </t>
  </si>
  <si>
    <t xml:space="preserve">Intercept </t>
  </si>
  <si>
    <t>©</t>
  </si>
  <si>
    <t xml:space="preserve">Position fom intercept and azimuth by calculation ~  See Nautical Almanac page 282 paragraph 11 </t>
  </si>
  <si>
    <t>DR Lat</t>
  </si>
  <si>
    <t xml:space="preserve">Crossing Angle of LOPs From Body 1 &amp; Body 2 is </t>
  </si>
  <si>
    <t xml:space="preserve">Crossing Angle of LOPs From Body 1 &amp; Body 3 is </t>
  </si>
  <si>
    <t>1st estimate of Fix Lat</t>
  </si>
  <si>
    <t xml:space="preserve">Crossing Angle of LOPs From Body 2 &amp; Body 3 is </t>
  </si>
  <si>
    <t>1st estimate of Fix Lo</t>
  </si>
  <si>
    <t xml:space="preserve"> Fix Lat</t>
  </si>
  <si>
    <t>Date</t>
  </si>
  <si>
    <t xml:space="preserve"> Fix Lo</t>
  </si>
  <si>
    <t>1st Estimate Body 1</t>
  </si>
  <si>
    <t>1st Estimate Body 2</t>
  </si>
  <si>
    <t>1st Estimate Body 3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</si>
  <si>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Zns</t>
    </r>
  </si>
  <si>
    <t>1 - 2</t>
  </si>
  <si>
    <t>1 - 3</t>
  </si>
  <si>
    <t>2 - 3</t>
  </si>
  <si>
    <t>Intercept</t>
  </si>
  <si>
    <t>2nd Estimate Body 1</t>
  </si>
  <si>
    <t>2nd Estimate Body 2</t>
  </si>
  <si>
    <t>2nd Estimate Body 3</t>
  </si>
  <si>
    <t>min.</t>
  </si>
  <si>
    <t xml:space="preserve">Enter data into yellow cells </t>
  </si>
  <si>
    <t>Body 1 Data</t>
  </si>
  <si>
    <t>Body 2 Data</t>
  </si>
  <si>
    <t>Body 3 Data</t>
  </si>
  <si>
    <t xml:space="preserve">Hc </t>
  </si>
  <si>
    <t xml:space="preserve">Zn </t>
  </si>
  <si>
    <t xml:space="preserve">Ho </t>
  </si>
  <si>
    <t xml:space="preserve">Total GHA </t>
  </si>
  <si>
    <t xml:space="preserve">Declination </t>
  </si>
  <si>
    <t>Zn1</t>
  </si>
  <si>
    <t>Large</t>
  </si>
  <si>
    <t>Zn2</t>
  </si>
  <si>
    <t>Small</t>
  </si>
  <si>
    <t>Zn3</t>
  </si>
  <si>
    <t>Delta</t>
  </si>
  <si>
    <t xml:space="preserve"> Azimuth Spread 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</si>
  <si>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t</t>
    </r>
  </si>
  <si>
    <t>Lo</t>
  </si>
  <si>
    <t>2nd estimate of Fix Lat</t>
  </si>
  <si>
    <t>2nd estimate of Fix Lo</t>
  </si>
  <si>
    <t>3rd Estimate Body 1</t>
  </si>
  <si>
    <t>3rd Estimate Body 2</t>
  </si>
  <si>
    <t>3rd Estimate Body 3</t>
  </si>
  <si>
    <t>3rd estimate of Fix Lat</t>
  </si>
  <si>
    <t>3rd estimate of Fix Lo</t>
  </si>
  <si>
    <t xml:space="preserve">Diatance between DR &amp; Fix </t>
  </si>
  <si>
    <t>n. mi.</t>
  </si>
  <si>
    <t>DR Lo</t>
  </si>
  <si>
    <t xml:space="preserve">  1st Estimate</t>
  </si>
  <si>
    <t xml:space="preserve">  2nd Estimate</t>
  </si>
  <si>
    <t xml:space="preserve">  3rd Estimate</t>
  </si>
  <si>
    <t>4th Estimate Body 1</t>
  </si>
  <si>
    <t>4th Estimate Body 2</t>
  </si>
  <si>
    <t>4th Estimate Body 3</t>
  </si>
  <si>
    <t>4th estimate of Fix Lat</t>
  </si>
  <si>
    <t>4th estimate of Fix Lo</t>
  </si>
  <si>
    <r>
      <t xml:space="preserve">B </t>
    </r>
    <r>
      <rPr>
        <vertAlign val="subscript"/>
        <sz val="10"/>
        <rFont val="Arial"/>
        <family val="2"/>
      </rPr>
      <t>0</t>
    </r>
  </si>
  <si>
    <r>
      <t xml:space="preserve">L </t>
    </r>
    <r>
      <rPr>
        <vertAlign val="subscript"/>
        <sz val="10"/>
        <rFont val="Arial"/>
        <family val="2"/>
      </rPr>
      <t>0</t>
    </r>
  </si>
  <si>
    <r>
      <t xml:space="preserve">B </t>
    </r>
    <r>
      <rPr>
        <vertAlign val="subscript"/>
        <sz val="10"/>
        <rFont val="Arial"/>
        <family val="2"/>
      </rPr>
      <t>1</t>
    </r>
  </si>
  <si>
    <r>
      <t xml:space="preserve">L </t>
    </r>
    <r>
      <rPr>
        <vertAlign val="subscript"/>
        <sz val="10"/>
        <rFont val="Arial"/>
        <family val="2"/>
      </rPr>
      <t>1</t>
    </r>
  </si>
  <si>
    <r>
      <t xml:space="preserve">B </t>
    </r>
    <r>
      <rPr>
        <vertAlign val="subscript"/>
        <sz val="10"/>
        <rFont val="Arial"/>
        <family val="2"/>
      </rPr>
      <t>2</t>
    </r>
  </si>
  <si>
    <r>
      <t xml:space="preserve">L </t>
    </r>
    <r>
      <rPr>
        <vertAlign val="subscript"/>
        <sz val="10"/>
        <rFont val="Arial"/>
        <family val="2"/>
      </rPr>
      <t>2</t>
    </r>
  </si>
  <si>
    <r>
      <t xml:space="preserve">B </t>
    </r>
    <r>
      <rPr>
        <vertAlign val="subscript"/>
        <sz val="10"/>
        <rFont val="Arial"/>
        <family val="2"/>
      </rPr>
      <t>3</t>
    </r>
  </si>
  <si>
    <r>
      <t xml:space="preserve">L </t>
    </r>
    <r>
      <rPr>
        <vertAlign val="subscript"/>
        <sz val="10"/>
        <rFont val="Arial"/>
        <family val="2"/>
      </rPr>
      <t>3</t>
    </r>
  </si>
  <si>
    <t xml:space="preserve">  4th Estimate</t>
  </si>
  <si>
    <r>
      <t xml:space="preserve">B </t>
    </r>
    <r>
      <rPr>
        <vertAlign val="subscript"/>
        <sz val="10"/>
        <rFont val="Arial"/>
        <family val="2"/>
      </rPr>
      <t>4</t>
    </r>
  </si>
  <si>
    <r>
      <t xml:space="preserve">L </t>
    </r>
    <r>
      <rPr>
        <vertAlign val="subscript"/>
        <sz val="10"/>
        <rFont val="Arial"/>
        <family val="2"/>
      </rPr>
      <t>4</t>
    </r>
  </si>
  <si>
    <t xml:space="preserve">Direction from DR to Fix </t>
  </si>
  <si>
    <t>X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</si>
  <si>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Lo</t>
    </r>
  </si>
  <si>
    <t>Df</t>
  </si>
  <si>
    <t>q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</si>
</sst>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0.0"/>
    <numFmt numFmtId="166" formatCode="[$-409]d/mmm/yy;@"/>
  </numFmts>
  <fonts count="18"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b/>
      <i/>
      <sz val="18"/>
      <color rgb="FF00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1"/>
      <name val="Arial"/>
      <family val="2"/>
    </font>
    <font>
      <b/>
      <sz val="10"/>
      <color indexed="8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0" fillId="0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8" xfId="0" applyBorder="1"/>
    <xf numFmtId="0" fontId="0" fillId="0" borderId="9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6" xfId="0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5" borderId="10" xfId="0" applyFill="1" applyBorder="1"/>
    <xf numFmtId="0" fontId="0" fillId="5" borderId="10" xfId="0" applyFill="1" applyBorder="1" applyAlignment="1">
      <alignment horizontal="right"/>
    </xf>
    <xf numFmtId="0" fontId="3" fillId="5" borderId="1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0" fillId="5" borderId="9" xfId="0" applyFill="1" applyBorder="1"/>
    <xf numFmtId="0" fontId="4" fillId="0" borderId="0" xfId="0" applyFont="1" applyAlignment="1">
      <alignment horizontal="left" vertical="center"/>
    </xf>
    <xf numFmtId="2" fontId="0" fillId="2" borderId="1" xfId="0" applyNumberFormat="1" applyFill="1" applyBorder="1" applyProtection="1">
      <protection locked="0"/>
    </xf>
    <xf numFmtId="2" fontId="0" fillId="0" borderId="0" xfId="0" applyNumberFormat="1" applyFill="1" applyBorder="1"/>
    <xf numFmtId="0" fontId="4" fillId="5" borderId="0" xfId="0" applyFont="1" applyFill="1" applyBorder="1" applyAlignment="1" applyProtection="1">
      <alignment horizontal="right"/>
    </xf>
    <xf numFmtId="165" fontId="0" fillId="4" borderId="1" xfId="0" applyNumberFormat="1" applyFill="1" applyBorder="1"/>
    <xf numFmtId="0" fontId="4" fillId="5" borderId="0" xfId="0" applyFont="1" applyFill="1"/>
    <xf numFmtId="165" fontId="4" fillId="5" borderId="0" xfId="0" applyNumberFormat="1" applyFont="1" applyFill="1"/>
    <xf numFmtId="2" fontId="0" fillId="5" borderId="0" xfId="0" applyNumberFormat="1" applyFill="1"/>
    <xf numFmtId="0" fontId="0" fillId="6" borderId="1" xfId="0" applyFill="1" applyBorder="1"/>
    <xf numFmtId="2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4" fillId="5" borderId="0" xfId="0" applyFont="1" applyFill="1" applyAlignment="1">
      <alignment horizontal="right"/>
    </xf>
    <xf numFmtId="2" fontId="4" fillId="5" borderId="0" xfId="0" applyNumberFormat="1" applyFont="1" applyFill="1"/>
    <xf numFmtId="2" fontId="0" fillId="5" borderId="0" xfId="0" applyNumberFormat="1" applyFill="1" applyBorder="1"/>
    <xf numFmtId="2" fontId="0" fillId="4" borderId="1" xfId="0" applyNumberFormat="1" applyFill="1" applyBorder="1"/>
    <xf numFmtId="0" fontId="4" fillId="5" borderId="0" xfId="0" applyFont="1" applyFill="1" applyAlignment="1">
      <alignment horizont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5" borderId="7" xfId="0" applyFill="1" applyBorder="1"/>
    <xf numFmtId="0" fontId="0" fillId="5" borderId="8" xfId="0" applyFill="1" applyBorder="1"/>
    <xf numFmtId="0" fontId="4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2" fontId="0" fillId="0" borderId="0" xfId="0" applyNumberFormat="1" applyBorder="1"/>
    <xf numFmtId="0" fontId="0" fillId="5" borderId="11" xfId="0" applyFill="1" applyBorder="1"/>
    <xf numFmtId="0" fontId="4" fillId="0" borderId="12" xfId="0" applyFont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4" fillId="6" borderId="1" xfId="0" applyFont="1" applyFill="1" applyBorder="1"/>
    <xf numFmtId="0" fontId="8" fillId="5" borderId="0" xfId="0" applyFont="1" applyFill="1" applyAlignment="1">
      <alignment vertical="center"/>
    </xf>
    <xf numFmtId="0" fontId="4" fillId="5" borderId="0" xfId="0" applyFont="1" applyFill="1" applyBorder="1"/>
    <xf numFmtId="0" fontId="4" fillId="5" borderId="0" xfId="0" applyFont="1" applyFill="1" applyBorder="1" applyProtection="1"/>
    <xf numFmtId="0" fontId="9" fillId="5" borderId="0" xfId="0" applyFont="1" applyFill="1"/>
    <xf numFmtId="0" fontId="4" fillId="5" borderId="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right"/>
    </xf>
    <xf numFmtId="1" fontId="0" fillId="4" borderId="1" xfId="0" applyNumberFormat="1" applyFill="1" applyBorder="1"/>
    <xf numFmtId="0" fontId="0" fillId="0" borderId="0" xfId="0" applyFill="1" applyBorder="1" applyAlignment="1">
      <alignment horizontal="center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6" borderId="1" xfId="0" applyNumberFormat="1" applyFill="1" applyBorder="1"/>
    <xf numFmtId="0" fontId="4" fillId="6" borderId="1" xfId="0" applyNumberFormat="1" applyFont="1" applyFill="1" applyBorder="1"/>
    <xf numFmtId="0" fontId="0" fillId="5" borderId="16" xfId="0" applyFill="1" applyBorder="1"/>
    <xf numFmtId="0" fontId="10" fillId="0" borderId="0" xfId="0" applyFont="1" applyFill="1" applyAlignment="1" applyProtection="1">
      <alignment horizontal="right"/>
    </xf>
    <xf numFmtId="0" fontId="10" fillId="0" borderId="0" xfId="0" applyFont="1" applyAlignment="1">
      <alignment horizontal="right"/>
    </xf>
    <xf numFmtId="165" fontId="11" fillId="8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0" fillId="7" borderId="1" xfId="0" applyFill="1" applyBorder="1"/>
    <xf numFmtId="0" fontId="0" fillId="5" borderId="17" xfId="0" applyFill="1" applyBorder="1" applyAlignment="1">
      <alignment horizontal="right"/>
    </xf>
    <xf numFmtId="0" fontId="0" fillId="0" borderId="10" xfId="0" applyBorder="1"/>
    <xf numFmtId="0" fontId="0" fillId="9" borderId="1" xfId="0" applyNumberFormat="1" applyFill="1" applyBorder="1"/>
    <xf numFmtId="0" fontId="4" fillId="9" borderId="1" xfId="0" applyFont="1" applyFill="1" applyBorder="1"/>
    <xf numFmtId="0" fontId="0" fillId="9" borderId="1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4" fillId="0" borderId="12" xfId="0" applyNumberFormat="1" applyFont="1" applyBorder="1" applyAlignment="1">
      <alignment horizontal="center"/>
    </xf>
    <xf numFmtId="0" fontId="3" fillId="5" borderId="12" xfId="0" applyFont="1" applyFill="1" applyBorder="1"/>
    <xf numFmtId="0" fontId="0" fillId="5" borderId="17" xfId="0" applyFill="1" applyBorder="1"/>
    <xf numFmtId="0" fontId="9" fillId="0" borderId="0" xfId="0" applyFont="1"/>
    <xf numFmtId="0" fontId="14" fillId="5" borderId="0" xfId="0" applyFont="1" applyFill="1" applyAlignment="1">
      <alignment horizontal="right"/>
    </xf>
    <xf numFmtId="165" fontId="15" fillId="7" borderId="1" xfId="0" applyNumberFormat="1" applyFont="1" applyFill="1" applyBorder="1" applyAlignment="1" applyProtection="1">
      <alignment horizontal="center"/>
    </xf>
    <xf numFmtId="0" fontId="0" fillId="5" borderId="5" xfId="0" applyFill="1" applyBorder="1"/>
    <xf numFmtId="0" fontId="0" fillId="5" borderId="6" xfId="0" applyFill="1" applyBorder="1" applyAlignment="1">
      <alignment horizontal="right"/>
    </xf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4" fillId="0" borderId="0" xfId="0" applyFont="1" applyBorder="1" applyAlignment="1">
      <alignment horizontal="center"/>
    </xf>
    <xf numFmtId="0" fontId="3" fillId="5" borderId="19" xfId="0" applyFont="1" applyFill="1" applyBorder="1"/>
    <xf numFmtId="0" fontId="0" fillId="0" borderId="23" xfId="0" applyBorder="1"/>
    <xf numFmtId="0" fontId="0" fillId="5" borderId="24" xfId="0" applyFill="1" applyBorder="1"/>
    <xf numFmtId="0" fontId="4" fillId="5" borderId="6" xfId="0" applyNumberFormat="1" applyFont="1" applyFill="1" applyBorder="1" applyAlignment="1">
      <alignment horizontal="center"/>
    </xf>
    <xf numFmtId="0" fontId="3" fillId="5" borderId="6" xfId="0" applyFont="1" applyFill="1" applyBorder="1"/>
    <xf numFmtId="0" fontId="4" fillId="0" borderId="6" xfId="0" applyNumberFormat="1" applyFont="1" applyFill="1" applyBorder="1" applyAlignment="1">
      <alignment horizontal="center"/>
    </xf>
    <xf numFmtId="0" fontId="0" fillId="0" borderId="6" xfId="0" applyFill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4" borderId="1" xfId="0" applyNumberFormat="1" applyFill="1" applyBorder="1"/>
    <xf numFmtId="0" fontId="4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6" borderId="1" xfId="0" applyFont="1" applyFill="1" applyBorder="1" applyAlignment="1" applyProtection="1">
      <alignment horizontal="right"/>
    </xf>
    <xf numFmtId="0" fontId="17" fillId="0" borderId="1" xfId="0" applyFont="1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5"/>
  <sheetViews>
    <sheetView tabSelected="1" zoomScale="135" zoomScaleNormal="135" workbookViewId="0">
      <selection activeCell="A13" sqref="A13"/>
    </sheetView>
  </sheetViews>
  <sheetFormatPr defaultRowHeight="12.75"/>
  <cols>
    <col min="1" max="1" width="25.7109375" customWidth="1"/>
    <col min="2" max="7" width="6.7109375" customWidth="1"/>
    <col min="8" max="8" width="25.7109375" customWidth="1"/>
    <col min="9" max="14" width="6.7109375" customWidth="1"/>
    <col min="15" max="15" width="25.7109375" customWidth="1"/>
    <col min="16" max="22" width="6.7109375" customWidth="1"/>
    <col min="23" max="23" width="15.7109375" customWidth="1"/>
    <col min="24" max="25" width="6.7109375" customWidth="1"/>
    <col min="26" max="26" width="15.7109375" customWidth="1"/>
    <col min="27" max="27" width="6.7109375" customWidth="1"/>
    <col min="30" max="30" width="30.7109375" customWidth="1"/>
  </cols>
  <sheetData>
    <row r="1" spans="1:46" ht="39.950000000000003" customHeight="1" thickBot="1">
      <c r="A1" s="31" t="s">
        <v>93</v>
      </c>
      <c r="B1" s="58" t="s">
        <v>94</v>
      </c>
      <c r="D1" s="1"/>
      <c r="F1" s="9"/>
      <c r="G1" s="9"/>
      <c r="H1" s="9"/>
      <c r="J1" s="9"/>
      <c r="L1" s="20"/>
      <c r="N1" s="14"/>
      <c r="O1" s="14"/>
      <c r="P1" s="14"/>
      <c r="T1" s="19"/>
      <c r="U1" s="19"/>
      <c r="V1" s="19"/>
      <c r="W1" s="19"/>
      <c r="X1" s="19"/>
      <c r="Y1" s="19"/>
      <c r="Z1" s="19"/>
      <c r="AA1" s="19"/>
      <c r="AB1" s="19"/>
      <c r="AC1" s="19"/>
      <c r="AD1" s="3" t="s">
        <v>10</v>
      </c>
    </row>
    <row r="2" spans="1:46" s="6" customFormat="1" ht="18">
      <c r="A2" s="19"/>
      <c r="B2"/>
      <c r="C2" s="19"/>
      <c r="D2" s="19"/>
      <c r="E2" s="24" t="s">
        <v>90</v>
      </c>
      <c r="F2" s="10">
        <v>3</v>
      </c>
      <c r="G2" s="20"/>
      <c r="H2" s="24" t="s">
        <v>74</v>
      </c>
      <c r="I2" s="10">
        <v>0</v>
      </c>
      <c r="J2" s="19" t="s">
        <v>8</v>
      </c>
      <c r="K2" s="19"/>
      <c r="L2" s="24" t="s">
        <v>75</v>
      </c>
      <c r="M2" s="10">
        <v>0</v>
      </c>
      <c r="N2" s="19" t="s">
        <v>76</v>
      </c>
      <c r="O2" s="19"/>
      <c r="P2" s="19"/>
      <c r="Q2" s="93" t="s">
        <v>116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4" t="s">
        <v>11</v>
      </c>
      <c r="AE2"/>
      <c r="AF2" s="75" t="s">
        <v>125</v>
      </c>
      <c r="AG2" s="94">
        <f>D14</f>
        <v>245.39617032248381</v>
      </c>
      <c r="AH2" s="76" t="s">
        <v>126</v>
      </c>
      <c r="AI2" s="94">
        <f>LARGE(AG2:AG4,1)</f>
        <v>245.39617032248381</v>
      </c>
      <c r="AJ2"/>
      <c r="AK2"/>
      <c r="AL2"/>
      <c r="AM2"/>
      <c r="AN2"/>
      <c r="AO2"/>
      <c r="AP2"/>
      <c r="AQ2"/>
      <c r="AR2"/>
      <c r="AS2"/>
      <c r="AT2"/>
    </row>
    <row r="3" spans="1:46" s="6" customFormat="1" ht="18">
      <c r="A3"/>
      <c r="B3" s="19"/>
      <c r="C3"/>
      <c r="D3" s="19"/>
      <c r="E3" s="19"/>
      <c r="F3" s="19"/>
      <c r="G3" s="20"/>
      <c r="H3" s="19"/>
      <c r="I3" s="19"/>
      <c r="J3" s="19"/>
      <c r="K3" s="19"/>
      <c r="L3" s="19"/>
      <c r="M3" s="19"/>
      <c r="N3" s="20"/>
      <c r="O3" s="46" t="s">
        <v>102</v>
      </c>
      <c r="P3" s="20"/>
      <c r="Q3" s="19"/>
      <c r="R3" s="19"/>
      <c r="S3" s="19"/>
      <c r="T3" s="19"/>
      <c r="U3" s="36"/>
      <c r="V3" s="36"/>
      <c r="W3" s="19"/>
      <c r="X3" s="19"/>
      <c r="Y3" s="19"/>
      <c r="Z3" s="19"/>
      <c r="AA3" s="19"/>
      <c r="AB3" s="19"/>
      <c r="AC3" s="19"/>
      <c r="AD3" s="5" t="s">
        <v>12</v>
      </c>
      <c r="AE3"/>
      <c r="AF3" s="75" t="s">
        <v>127</v>
      </c>
      <c r="AG3" s="94">
        <f>K14</f>
        <v>123.51230963711592</v>
      </c>
      <c r="AH3" s="76" t="s">
        <v>128</v>
      </c>
      <c r="AI3" s="94">
        <f>SMALL(AG2:AG4,1)</f>
        <v>123.51230963711592</v>
      </c>
      <c r="AJ3"/>
      <c r="AK3"/>
      <c r="AL3"/>
      <c r="AM3"/>
      <c r="AN3"/>
      <c r="AO3"/>
      <c r="AP3"/>
      <c r="AQ3"/>
      <c r="AR3"/>
      <c r="AS3"/>
      <c r="AT3"/>
    </row>
    <row r="4" spans="1:46" ht="18">
      <c r="A4" s="19"/>
      <c r="B4" s="19"/>
      <c r="C4" s="19"/>
      <c r="D4" s="19"/>
      <c r="E4" s="34" t="s">
        <v>96</v>
      </c>
      <c r="F4" s="35">
        <f>IF(AG10&lt;90,AG10,180-AG10)</f>
        <v>58.124957066045638</v>
      </c>
      <c r="G4" s="20" t="s">
        <v>8</v>
      </c>
      <c r="H4" s="22" t="s">
        <v>95</v>
      </c>
      <c r="I4" s="11">
        <v>48</v>
      </c>
      <c r="J4" s="20" t="s">
        <v>8</v>
      </c>
      <c r="K4" s="32">
        <v>8.5</v>
      </c>
      <c r="L4" s="59" t="s">
        <v>115</v>
      </c>
      <c r="M4" s="10" t="s">
        <v>80</v>
      </c>
      <c r="N4" s="20"/>
      <c r="O4" s="47">
        <v>37759</v>
      </c>
      <c r="Q4" s="19"/>
      <c r="R4" s="19"/>
      <c r="S4" s="19"/>
      <c r="T4" s="19"/>
      <c r="U4" s="36"/>
      <c r="V4" s="36"/>
      <c r="W4" s="19"/>
      <c r="X4" s="19"/>
      <c r="Y4" s="19"/>
      <c r="Z4" s="19"/>
      <c r="AA4" s="19"/>
      <c r="AB4" s="19"/>
      <c r="AC4" s="19"/>
      <c r="AD4" s="5" t="s">
        <v>13</v>
      </c>
      <c r="AF4" s="75" t="s">
        <v>129</v>
      </c>
      <c r="AG4" s="94">
        <f>R14</f>
        <v>156.32049148199863</v>
      </c>
      <c r="AH4" s="76" t="s">
        <v>130</v>
      </c>
      <c r="AI4" s="94">
        <f>AI2-AI3</f>
        <v>121.88386068536789</v>
      </c>
    </row>
    <row r="5" spans="1:46" ht="15.75" customHeight="1">
      <c r="A5" s="19"/>
      <c r="B5" s="19"/>
      <c r="C5" s="19"/>
      <c r="D5" s="19"/>
      <c r="E5" s="34"/>
      <c r="F5" s="37"/>
      <c r="G5" s="36"/>
      <c r="H5" s="60"/>
      <c r="I5" s="17"/>
      <c r="J5" s="20"/>
      <c r="K5" s="33"/>
      <c r="L5" s="22"/>
      <c r="M5" s="17"/>
      <c r="N5" s="20"/>
      <c r="O5" s="18" t="s">
        <v>78</v>
      </c>
      <c r="P5" s="20"/>
      <c r="Q5" s="19"/>
      <c r="R5" s="19"/>
      <c r="S5" s="19"/>
      <c r="T5" s="19"/>
      <c r="U5" s="36"/>
      <c r="V5" s="36"/>
      <c r="W5" s="19"/>
      <c r="X5" s="19"/>
      <c r="Y5" s="19"/>
      <c r="Z5" s="19"/>
      <c r="AA5" s="19"/>
      <c r="AB5" s="19"/>
      <c r="AC5" s="19"/>
      <c r="AD5" s="5" t="s">
        <v>14</v>
      </c>
    </row>
    <row r="6" spans="1:46" ht="15.75" customHeight="1">
      <c r="A6" s="19"/>
      <c r="B6" s="19"/>
      <c r="C6" s="19"/>
      <c r="D6" s="19"/>
      <c r="E6" s="34" t="s">
        <v>97</v>
      </c>
      <c r="F6" s="35">
        <f>IF(AG11&lt;90,AG11,180-AG11)</f>
        <v>89.073011569028495</v>
      </c>
      <c r="G6" s="20" t="s">
        <v>8</v>
      </c>
      <c r="H6" s="22" t="s">
        <v>79</v>
      </c>
      <c r="I6" s="11">
        <v>123</v>
      </c>
      <c r="J6" s="20" t="s">
        <v>8</v>
      </c>
      <c r="K6" s="32">
        <v>26</v>
      </c>
      <c r="L6" s="59" t="s">
        <v>115</v>
      </c>
      <c r="M6" s="10" t="s">
        <v>81</v>
      </c>
      <c r="N6" s="20"/>
      <c r="O6" s="12">
        <v>0.89444444444444438</v>
      </c>
      <c r="P6" s="20"/>
      <c r="Q6" s="19"/>
      <c r="R6" s="19"/>
      <c r="S6" s="19"/>
      <c r="T6" s="19"/>
      <c r="U6" s="36"/>
      <c r="V6" s="36"/>
      <c r="W6" s="19"/>
      <c r="X6" s="19"/>
      <c r="Y6" s="19"/>
      <c r="Z6" s="19"/>
      <c r="AA6" s="19"/>
      <c r="AB6" s="19"/>
      <c r="AC6" s="19"/>
      <c r="AD6" s="5" t="s">
        <v>15</v>
      </c>
      <c r="AF6" s="2"/>
      <c r="AH6" s="42" t="s">
        <v>131</v>
      </c>
      <c r="AI6" s="77">
        <f>AI4</f>
        <v>121.88386068536789</v>
      </c>
      <c r="AJ6" s="20" t="s">
        <v>8</v>
      </c>
    </row>
    <row r="7" spans="1:46" ht="15.75">
      <c r="B7" s="19"/>
      <c r="D7" s="19"/>
      <c r="E7" s="34"/>
      <c r="F7" s="37"/>
      <c r="G7" s="36"/>
      <c r="H7" s="19"/>
      <c r="I7" s="19"/>
      <c r="J7" s="19"/>
      <c r="K7" s="38"/>
      <c r="L7" s="19"/>
      <c r="M7" s="19"/>
      <c r="N7" s="20"/>
      <c r="P7" s="20"/>
      <c r="Q7" s="19"/>
      <c r="R7" s="19"/>
      <c r="S7" s="19"/>
      <c r="T7" s="19"/>
      <c r="U7" s="36"/>
      <c r="V7" s="43"/>
      <c r="W7" s="19"/>
      <c r="X7" s="19"/>
      <c r="Y7" s="19"/>
      <c r="Z7" s="19"/>
      <c r="AA7" s="19"/>
      <c r="AB7" s="19"/>
      <c r="AC7" s="19"/>
      <c r="AD7" s="5" t="s">
        <v>16</v>
      </c>
    </row>
    <row r="8" spans="1:46" s="6" customFormat="1" ht="15.75">
      <c r="A8" s="19"/>
      <c r="B8"/>
      <c r="C8" s="19"/>
      <c r="D8" s="19"/>
      <c r="E8" s="34" t="s">
        <v>99</v>
      </c>
      <c r="F8" s="35">
        <f>IF(AG12&lt;90,AG12,180-AG12)</f>
        <v>32.802031364925867</v>
      </c>
      <c r="G8" s="20" t="s">
        <v>8</v>
      </c>
      <c r="H8" s="22" t="s">
        <v>101</v>
      </c>
      <c r="I8" s="7">
        <f>ABS(TRUNC(Z60))</f>
        <v>48</v>
      </c>
      <c r="J8" s="20" t="s">
        <v>8</v>
      </c>
      <c r="K8" s="45">
        <f>(ABS(Z60)-I8)*60</f>
        <v>8.4563532188026613</v>
      </c>
      <c r="L8" s="59" t="s">
        <v>115</v>
      </c>
      <c r="M8" s="8" t="str">
        <f>IF(Z51&lt;0,"S","N")</f>
        <v>N</v>
      </c>
      <c r="N8" s="20"/>
      <c r="O8" s="42" t="s">
        <v>141</v>
      </c>
      <c r="P8" s="45">
        <f>Z64</f>
        <v>2.4016961243130805</v>
      </c>
      <c r="Q8" s="59" t="s">
        <v>142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5" t="s">
        <v>17</v>
      </c>
      <c r="AE8"/>
      <c r="AI8"/>
      <c r="AJ8"/>
      <c r="AK8"/>
      <c r="AL8"/>
      <c r="AM8"/>
      <c r="AN8"/>
      <c r="AO8"/>
      <c r="AP8"/>
      <c r="AQ8"/>
      <c r="AR8"/>
      <c r="AS8"/>
      <c r="AT8"/>
    </row>
    <row r="9" spans="1:46" s="6" customFormat="1" ht="15.75">
      <c r="A9" s="19"/>
      <c r="B9" s="19"/>
      <c r="C9" s="19"/>
      <c r="D9" s="19"/>
      <c r="E9" s="19"/>
      <c r="F9" s="20"/>
      <c r="G9" s="20"/>
      <c r="H9" s="36"/>
      <c r="I9" s="19"/>
      <c r="J9" s="19"/>
      <c r="K9" s="38"/>
      <c r="L9" s="19"/>
      <c r="M9" s="19"/>
      <c r="N9" s="20"/>
      <c r="O9"/>
      <c r="P9" s="19"/>
      <c r="Q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5" t="s">
        <v>18</v>
      </c>
      <c r="AE9"/>
      <c r="AG9" s="78" t="s">
        <v>107</v>
      </c>
      <c r="AI9"/>
      <c r="AJ9"/>
      <c r="AK9"/>
      <c r="AL9"/>
      <c r="AM9"/>
      <c r="AN9"/>
      <c r="AO9"/>
      <c r="AP9"/>
      <c r="AQ9"/>
      <c r="AR9"/>
      <c r="AS9"/>
      <c r="AT9"/>
    </row>
    <row r="10" spans="1:46" s="6" customFormat="1" ht="15.75">
      <c r="A10"/>
      <c r="B10" s="61" t="str">
        <f>IF(AND(AI6&lt;210,F2=3),"Warning ... Azimuth Spread &lt; 210 deg.", " ")</f>
        <v>Warning ... Azimuth Spread &lt; 210 deg.</v>
      </c>
      <c r="C10" s="19"/>
      <c r="D10" s="19"/>
      <c r="E10" s="19"/>
      <c r="F10" s="42"/>
      <c r="G10" s="20"/>
      <c r="H10" s="22" t="s">
        <v>103</v>
      </c>
      <c r="I10" s="7">
        <f>ABS(TRUNC(Z61))</f>
        <v>123</v>
      </c>
      <c r="J10" s="20" t="s">
        <v>8</v>
      </c>
      <c r="K10" s="45">
        <f>(ABS(Z61)-I10)*60</f>
        <v>22.401421377965391</v>
      </c>
      <c r="L10" s="59" t="s">
        <v>115</v>
      </c>
      <c r="M10" s="8" t="str">
        <f>IF(Z52&lt;0,"W","E")</f>
        <v>W</v>
      </c>
      <c r="N10" s="20"/>
      <c r="O10" s="42" t="s">
        <v>163</v>
      </c>
      <c r="P10" s="35">
        <f>Z69</f>
        <v>91.041304220751272</v>
      </c>
      <c r="Q10" s="20" t="s">
        <v>8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5" t="s">
        <v>19</v>
      </c>
      <c r="AE10"/>
      <c r="AF10" s="79" t="s">
        <v>108</v>
      </c>
      <c r="AG10" s="80">
        <f>MOD(ABS(B45-I45),180)</f>
        <v>121.87504293395436</v>
      </c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6" customFormat="1" ht="15.75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20"/>
      <c r="O11" s="92" t="str">
        <f>IF(F2=2," Body 3 data is not used for a 2 body fix"," ")</f>
        <v xml:space="preserve"> </v>
      </c>
      <c r="P11" s="20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5" t="s">
        <v>20</v>
      </c>
      <c r="AE11"/>
      <c r="AF11" s="79" t="s">
        <v>109</v>
      </c>
      <c r="AG11" s="80">
        <f>MOD(ABS(B45-P45),180)</f>
        <v>89.073011569028495</v>
      </c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5.75">
      <c r="A12" s="62" t="s">
        <v>117</v>
      </c>
      <c r="B12" s="21"/>
      <c r="C12" s="21"/>
      <c r="D12" s="63" t="s">
        <v>8</v>
      </c>
      <c r="E12" s="64" t="s">
        <v>115</v>
      </c>
      <c r="F12" s="21"/>
      <c r="G12" s="48"/>
      <c r="H12" s="65" t="s">
        <v>118</v>
      </c>
      <c r="I12" s="21"/>
      <c r="J12" s="21"/>
      <c r="K12" s="63" t="s">
        <v>8</v>
      </c>
      <c r="L12" s="64" t="s">
        <v>115</v>
      </c>
      <c r="M12" s="21"/>
      <c r="N12" s="48"/>
      <c r="O12" s="66" t="s">
        <v>119</v>
      </c>
      <c r="P12" s="21"/>
      <c r="Q12" s="21"/>
      <c r="R12" s="63" t="s">
        <v>8</v>
      </c>
      <c r="S12" s="64" t="s">
        <v>115</v>
      </c>
      <c r="T12" s="21"/>
      <c r="U12" s="48"/>
      <c r="V12" s="19"/>
      <c r="W12" s="19"/>
      <c r="X12" s="19"/>
      <c r="Y12" s="19"/>
      <c r="Z12" s="19"/>
      <c r="AA12" s="19"/>
      <c r="AB12" s="19"/>
      <c r="AC12" s="19"/>
      <c r="AD12" s="5" t="s">
        <v>21</v>
      </c>
      <c r="AF12" s="79" t="s">
        <v>110</v>
      </c>
      <c r="AG12" s="80">
        <f>MOD(ABS(I45-P45),180)</f>
        <v>32.802031364925867</v>
      </c>
      <c r="AH12" s="6"/>
    </row>
    <row r="13" spans="1:46" ht="15.75">
      <c r="A13" s="67" t="s">
        <v>15</v>
      </c>
      <c r="B13" s="20"/>
      <c r="C13" s="68" t="s">
        <v>120</v>
      </c>
      <c r="D13" s="69">
        <f>TRUNC(B33)</f>
        <v>43</v>
      </c>
      <c r="E13" s="45">
        <f>(B33-D13)*60</f>
        <v>39.811708394953342</v>
      </c>
      <c r="F13" s="20"/>
      <c r="G13" s="49"/>
      <c r="H13" s="67" t="s">
        <v>31</v>
      </c>
      <c r="I13" s="20"/>
      <c r="J13" s="68" t="s">
        <v>120</v>
      </c>
      <c r="K13" s="69">
        <f>TRUNC(I33)</f>
        <v>49</v>
      </c>
      <c r="L13" s="45">
        <f>(I33-K13)*60</f>
        <v>35.459504505114836</v>
      </c>
      <c r="M13" s="20"/>
      <c r="N13" s="49"/>
      <c r="O13" s="10" t="s">
        <v>69</v>
      </c>
      <c r="P13" s="20"/>
      <c r="Q13" s="68" t="s">
        <v>120</v>
      </c>
      <c r="R13" s="69">
        <f>TRUNC(P33)</f>
        <v>27</v>
      </c>
      <c r="S13" s="45">
        <f>(P33-R13)*60</f>
        <v>45.524673155957558</v>
      </c>
      <c r="T13" s="20"/>
      <c r="U13" s="49"/>
      <c r="V13" s="44"/>
      <c r="W13" s="19"/>
      <c r="X13" s="23"/>
      <c r="Y13" s="19"/>
      <c r="Z13" s="19"/>
      <c r="AA13" s="19"/>
      <c r="AB13" s="19"/>
      <c r="AC13" s="19"/>
      <c r="AD13" s="5" t="s">
        <v>22</v>
      </c>
      <c r="AF13" s="6"/>
      <c r="AG13" s="6"/>
      <c r="AH13" s="6"/>
    </row>
    <row r="14" spans="1:46" ht="15.75">
      <c r="A14" s="16" t="s">
        <v>73</v>
      </c>
      <c r="B14" s="19"/>
      <c r="C14" s="68" t="s">
        <v>121</v>
      </c>
      <c r="D14" s="35">
        <f>B36</f>
        <v>245.39617032248381</v>
      </c>
      <c r="E14" s="59" t="s">
        <v>8</v>
      </c>
      <c r="F14" s="20"/>
      <c r="G14" s="49"/>
      <c r="H14" s="70" t="s">
        <v>73</v>
      </c>
      <c r="I14" s="20"/>
      <c r="J14" s="68" t="s">
        <v>121</v>
      </c>
      <c r="K14" s="35">
        <f>I36</f>
        <v>123.51230963711592</v>
      </c>
      <c r="L14" s="59" t="s">
        <v>8</v>
      </c>
      <c r="M14" s="20"/>
      <c r="N14" s="49"/>
      <c r="O14" s="16" t="s">
        <v>73</v>
      </c>
      <c r="P14" s="20"/>
      <c r="Q14" s="68" t="s">
        <v>121</v>
      </c>
      <c r="R14" s="35">
        <f>P36</f>
        <v>156.32049148199863</v>
      </c>
      <c r="S14" s="59" t="s">
        <v>8</v>
      </c>
      <c r="T14" s="20"/>
      <c r="U14" s="49"/>
      <c r="V14" s="44"/>
      <c r="W14" s="19"/>
      <c r="X14" s="23"/>
      <c r="Y14" s="19"/>
      <c r="Z14" s="19"/>
      <c r="AA14" s="19"/>
      <c r="AB14" s="19"/>
      <c r="AC14" s="19"/>
      <c r="AD14" s="5" t="s">
        <v>23</v>
      </c>
    </row>
    <row r="15" spans="1:46" ht="15.75">
      <c r="A15" s="13">
        <v>0.88766203703703705</v>
      </c>
      <c r="B15" s="19"/>
      <c r="C15" s="50" t="s">
        <v>92</v>
      </c>
      <c r="D15" s="35">
        <f>ABS(B34)</f>
        <v>2.2117083949534333</v>
      </c>
      <c r="E15" s="59" t="str">
        <f>IF(B34&gt;0,"n. mi. Toward", "n. mi. Away")</f>
        <v>n. mi. Away</v>
      </c>
      <c r="F15" s="20"/>
      <c r="G15" s="49"/>
      <c r="H15" s="71">
        <v>0.89181712962962967</v>
      </c>
      <c r="I15" s="20"/>
      <c r="J15" s="50" t="s">
        <v>92</v>
      </c>
      <c r="K15" s="35">
        <f>ABS(I34)</f>
        <v>1.9404954948852549</v>
      </c>
      <c r="L15" s="59" t="str">
        <f>IF(I34&gt;0,"n. mi. Toward", "n. mi. Away")</f>
        <v>n. mi. Toward</v>
      </c>
      <c r="M15" s="20"/>
      <c r="N15" s="49"/>
      <c r="O15" s="13">
        <v>0.8947222222222222</v>
      </c>
      <c r="P15" s="20"/>
      <c r="Q15" s="50" t="s">
        <v>92</v>
      </c>
      <c r="R15" s="35">
        <f>ABS(P34)</f>
        <v>1.075326844042479</v>
      </c>
      <c r="S15" s="59" t="str">
        <f>IF(P34&gt;0,"n. mi. Toward", "n. mi. Away")</f>
        <v>n. mi. Toward</v>
      </c>
      <c r="T15" s="20"/>
      <c r="U15" s="49"/>
      <c r="V15" s="44"/>
      <c r="W15" s="19"/>
      <c r="X15" s="23"/>
      <c r="Y15" s="19"/>
      <c r="Z15" s="19"/>
      <c r="AA15" s="19"/>
      <c r="AB15" s="19"/>
      <c r="AC15" s="19"/>
      <c r="AD15" s="5" t="s">
        <v>24</v>
      </c>
    </row>
    <row r="16" spans="1:46" ht="15.75">
      <c r="A16" s="30"/>
      <c r="B16" s="20"/>
      <c r="C16" s="20"/>
      <c r="D16" s="20"/>
      <c r="E16" s="20"/>
      <c r="F16" s="20"/>
      <c r="G16" s="49"/>
      <c r="H16" s="20"/>
      <c r="I16" s="20"/>
      <c r="J16" s="20"/>
      <c r="K16" s="20"/>
      <c r="L16" s="20"/>
      <c r="M16" s="20"/>
      <c r="N16" s="49"/>
      <c r="O16" s="30"/>
      <c r="P16" s="20"/>
      <c r="Q16" s="20"/>
      <c r="R16" s="20"/>
      <c r="S16" s="20"/>
      <c r="T16" s="20"/>
      <c r="U16" s="49"/>
      <c r="V16" s="44"/>
      <c r="W16" s="19"/>
      <c r="X16" s="23"/>
      <c r="Y16" s="19"/>
      <c r="Z16" s="19"/>
      <c r="AA16" s="19"/>
      <c r="AB16" s="19"/>
      <c r="AC16" s="19"/>
      <c r="AD16" s="5" t="s">
        <v>25</v>
      </c>
    </row>
    <row r="17" spans="1:30" ht="15.75">
      <c r="A17" s="50" t="s">
        <v>122</v>
      </c>
      <c r="B17" s="11">
        <v>43</v>
      </c>
      <c r="C17" s="9" t="s">
        <v>8</v>
      </c>
      <c r="D17" s="32">
        <v>37.6</v>
      </c>
      <c r="E17" s="59" t="s">
        <v>115</v>
      </c>
      <c r="F17" s="20"/>
      <c r="G17" s="49"/>
      <c r="H17" s="68" t="s">
        <v>122</v>
      </c>
      <c r="I17" s="11">
        <v>49</v>
      </c>
      <c r="J17" s="20" t="s">
        <v>8</v>
      </c>
      <c r="K17" s="32">
        <v>37.4</v>
      </c>
      <c r="L17" s="59" t="s">
        <v>115</v>
      </c>
      <c r="M17" s="20"/>
      <c r="N17" s="49"/>
      <c r="O17" s="50" t="s">
        <v>122</v>
      </c>
      <c r="P17" s="11">
        <v>27</v>
      </c>
      <c r="Q17" s="20" t="s">
        <v>8</v>
      </c>
      <c r="R17" s="32">
        <v>46.6</v>
      </c>
      <c r="S17" s="59" t="s">
        <v>115</v>
      </c>
      <c r="T17" s="20"/>
      <c r="U17" s="49"/>
      <c r="V17" s="20"/>
      <c r="W17" s="19"/>
      <c r="X17" s="23"/>
      <c r="Y17" s="19"/>
      <c r="Z17" s="19"/>
      <c r="AA17" s="19"/>
      <c r="AB17" s="19"/>
      <c r="AC17" s="19"/>
      <c r="AD17" s="5" t="s">
        <v>26</v>
      </c>
    </row>
    <row r="18" spans="1:30" ht="15.75">
      <c r="A18" s="51"/>
      <c r="B18" s="2"/>
      <c r="C18" s="20"/>
      <c r="D18" s="33"/>
      <c r="E18" s="20"/>
      <c r="F18" s="20"/>
      <c r="G18" s="49"/>
      <c r="H18" s="22"/>
      <c r="I18" s="2"/>
      <c r="J18" s="20"/>
      <c r="K18" s="33"/>
      <c r="L18" s="20"/>
      <c r="M18" s="20"/>
      <c r="N18" s="49"/>
      <c r="O18" s="51"/>
      <c r="P18" s="2"/>
      <c r="Q18" s="20"/>
      <c r="R18" s="33"/>
      <c r="S18" s="20"/>
      <c r="T18" s="20"/>
      <c r="U18" s="49"/>
      <c r="V18" s="19"/>
      <c r="W18" s="19"/>
      <c r="Y18" s="19"/>
      <c r="Z18" s="19"/>
      <c r="AA18" s="19"/>
      <c r="AB18" s="19"/>
      <c r="AC18" s="19"/>
      <c r="AD18" s="5" t="s">
        <v>27</v>
      </c>
    </row>
    <row r="19" spans="1:30" ht="15.75">
      <c r="A19" s="50" t="s">
        <v>123</v>
      </c>
      <c r="B19" s="11">
        <v>167</v>
      </c>
      <c r="C19" s="20" t="s">
        <v>8</v>
      </c>
      <c r="D19" s="32">
        <v>16.100000000000001</v>
      </c>
      <c r="E19" s="59" t="s">
        <v>115</v>
      </c>
      <c r="F19" s="20"/>
      <c r="G19" s="49"/>
      <c r="H19" s="68" t="s">
        <v>123</v>
      </c>
      <c r="I19" s="11">
        <v>88</v>
      </c>
      <c r="J19" s="20" t="s">
        <v>8</v>
      </c>
      <c r="K19" s="32">
        <v>31.8</v>
      </c>
      <c r="L19" s="59" t="s">
        <v>115</v>
      </c>
      <c r="M19" s="20"/>
      <c r="N19" s="49"/>
      <c r="O19" s="50" t="s">
        <v>123</v>
      </c>
      <c r="P19" s="11">
        <v>102</v>
      </c>
      <c r="Q19" s="20" t="s">
        <v>8</v>
      </c>
      <c r="R19" s="32">
        <v>11.6</v>
      </c>
      <c r="S19" s="59" t="s">
        <v>115</v>
      </c>
      <c r="T19" s="20"/>
      <c r="U19" s="49"/>
      <c r="V19" s="19"/>
      <c r="W19" s="42"/>
      <c r="X19" s="19"/>
      <c r="Y19" s="19"/>
      <c r="Z19" s="19"/>
      <c r="AA19" s="28"/>
      <c r="AB19" s="28"/>
      <c r="AD19" s="5" t="s">
        <v>28</v>
      </c>
    </row>
    <row r="20" spans="1:30" ht="15.75">
      <c r="A20" s="51"/>
      <c r="B20" s="9"/>
      <c r="C20" s="20"/>
      <c r="D20" s="52"/>
      <c r="E20" s="20"/>
      <c r="F20" s="20"/>
      <c r="G20" s="49"/>
      <c r="H20" s="22"/>
      <c r="I20" s="9"/>
      <c r="J20" s="20"/>
      <c r="K20" s="52"/>
      <c r="L20" s="20"/>
      <c r="M20" s="20"/>
      <c r="N20" s="49"/>
      <c r="O20" s="51"/>
      <c r="P20" s="9"/>
      <c r="Q20" s="20"/>
      <c r="R20" s="52"/>
      <c r="S20" s="20"/>
      <c r="T20" s="20"/>
      <c r="U20" s="49"/>
      <c r="V20" s="19"/>
      <c r="W20" s="19"/>
      <c r="X20" s="19"/>
      <c r="Y20" s="19"/>
      <c r="Z20" s="19"/>
      <c r="AA20" s="19"/>
      <c r="AB20" s="19"/>
      <c r="AC20" s="19"/>
      <c r="AD20" s="5" t="s">
        <v>29</v>
      </c>
    </row>
    <row r="21" spans="1:30" ht="15.75">
      <c r="A21" s="50" t="s">
        <v>124</v>
      </c>
      <c r="B21" s="11">
        <v>18</v>
      </c>
      <c r="C21" s="20" t="s">
        <v>8</v>
      </c>
      <c r="D21" s="32">
        <v>15.3</v>
      </c>
      <c r="E21" s="59" t="s">
        <v>115</v>
      </c>
      <c r="F21" s="10" t="s">
        <v>80</v>
      </c>
      <c r="G21" s="49"/>
      <c r="H21" s="68" t="s">
        <v>124</v>
      </c>
      <c r="I21" s="11">
        <v>19</v>
      </c>
      <c r="J21" s="20" t="s">
        <v>8</v>
      </c>
      <c r="K21" s="32">
        <v>9.9</v>
      </c>
      <c r="L21" s="59" t="s">
        <v>115</v>
      </c>
      <c r="M21" s="10" t="s">
        <v>80</v>
      </c>
      <c r="N21" s="15"/>
      <c r="O21" s="50" t="s">
        <v>124</v>
      </c>
      <c r="P21" s="11">
        <v>11</v>
      </c>
      <c r="Q21" s="20" t="s">
        <v>8</v>
      </c>
      <c r="R21" s="32">
        <v>10.8</v>
      </c>
      <c r="S21" s="59" t="s">
        <v>115</v>
      </c>
      <c r="T21" s="10" t="s">
        <v>82</v>
      </c>
      <c r="U21" s="15"/>
      <c r="V21" s="19"/>
      <c r="W21" s="24"/>
      <c r="X21" s="19"/>
      <c r="Y21" s="20"/>
      <c r="Z21" s="20"/>
      <c r="AA21" s="20"/>
      <c r="AB21" s="20"/>
      <c r="AC21" s="19"/>
      <c r="AD21" s="5" t="s">
        <v>30</v>
      </c>
    </row>
    <row r="22" spans="1:30" ht="15.75">
      <c r="A22" s="81"/>
      <c r="B22" s="82"/>
      <c r="C22" s="25"/>
      <c r="D22" s="25"/>
      <c r="E22" s="25"/>
      <c r="F22" s="25"/>
      <c r="G22" s="74"/>
      <c r="H22" s="26"/>
      <c r="I22" s="25"/>
      <c r="J22" s="25"/>
      <c r="K22" s="25"/>
      <c r="L22" s="25"/>
      <c r="M22" s="25"/>
      <c r="N22" s="74"/>
      <c r="O22" s="81"/>
      <c r="P22" s="82"/>
      <c r="Q22" s="25"/>
      <c r="R22" s="25"/>
      <c r="S22" s="25"/>
      <c r="T22" s="25"/>
      <c r="U22" s="74"/>
      <c r="V22" s="19"/>
      <c r="W22" s="24"/>
      <c r="X22" s="19"/>
      <c r="Y22" s="20"/>
      <c r="Z22" s="20"/>
      <c r="AA22" s="20"/>
      <c r="AB22" s="20"/>
      <c r="AC22" s="19"/>
      <c r="AD22" s="5" t="s">
        <v>31</v>
      </c>
    </row>
    <row r="23" spans="1:30" ht="15.75">
      <c r="A23" s="19"/>
      <c r="B23" s="19"/>
      <c r="C23" s="19"/>
      <c r="D23" s="19"/>
      <c r="E23" s="19"/>
      <c r="F23" s="19"/>
      <c r="G23" s="19"/>
      <c r="H23" s="95"/>
      <c r="I23" s="19"/>
      <c r="J23" s="19"/>
      <c r="K23" s="19"/>
      <c r="L23" s="19"/>
      <c r="M23" s="19"/>
      <c r="N23" s="19"/>
      <c r="O23" s="95"/>
      <c r="P23" s="19"/>
      <c r="Q23" s="19"/>
      <c r="R23" s="19"/>
      <c r="S23" s="21"/>
      <c r="T23" s="21"/>
      <c r="U23" s="48"/>
      <c r="V23" s="95"/>
      <c r="W23" s="96"/>
      <c r="X23" s="21"/>
      <c r="Y23" s="21"/>
      <c r="Z23" s="21"/>
      <c r="AA23" s="21"/>
      <c r="AB23" s="21"/>
      <c r="AC23" s="97"/>
      <c r="AD23" s="5" t="s">
        <v>32</v>
      </c>
    </row>
    <row r="24" spans="1:30" ht="15.75">
      <c r="A24" s="50" t="s">
        <v>132</v>
      </c>
      <c r="B24" s="83">
        <f>(A15-O6)*24</f>
        <v>-0.16277777777777569</v>
      </c>
      <c r="C24" s="20" t="s">
        <v>83</v>
      </c>
      <c r="D24" s="20"/>
      <c r="E24" s="20"/>
      <c r="F24" s="20"/>
      <c r="G24" s="20"/>
      <c r="H24" s="50" t="s">
        <v>132</v>
      </c>
      <c r="I24" s="83">
        <f>(H15-O6)*24</f>
        <v>-6.3055555555552978E-2</v>
      </c>
      <c r="J24" s="20" t="s">
        <v>83</v>
      </c>
      <c r="K24" s="20"/>
      <c r="L24" s="20"/>
      <c r="M24" s="20"/>
      <c r="N24" s="20"/>
      <c r="O24" s="50" t="s">
        <v>132</v>
      </c>
      <c r="P24" s="83">
        <f>(O15-O6)*24</f>
        <v>6.6666666666677088E-3</v>
      </c>
      <c r="Q24" s="20" t="s">
        <v>83</v>
      </c>
      <c r="R24" s="20"/>
      <c r="S24" s="20"/>
      <c r="T24" s="20"/>
      <c r="U24" s="49"/>
      <c r="V24" s="30"/>
      <c r="W24" s="22"/>
      <c r="X24" s="20"/>
      <c r="Y24" s="42" t="s">
        <v>95</v>
      </c>
      <c r="Z24" s="85">
        <f>IF(M4="N",I4+K4/60,-(I4+K4/60))</f>
        <v>48.141666666666666</v>
      </c>
      <c r="AA24" s="27">
        <f>RADIANS(Z24)</f>
        <v>0.84023059073093675</v>
      </c>
      <c r="AB24" s="28" t="s">
        <v>88</v>
      </c>
      <c r="AC24" s="98"/>
      <c r="AD24" s="5" t="s">
        <v>33</v>
      </c>
    </row>
    <row r="25" spans="1:30" ht="15.75">
      <c r="A25" s="51" t="s">
        <v>0</v>
      </c>
      <c r="B25" s="84">
        <f>B17+D17/60</f>
        <v>43.626666666666665</v>
      </c>
      <c r="C25" s="20" t="s">
        <v>8</v>
      </c>
      <c r="D25" s="20"/>
      <c r="E25" s="20"/>
      <c r="F25" s="20"/>
      <c r="G25" s="20"/>
      <c r="H25" s="51" t="s">
        <v>0</v>
      </c>
      <c r="I25" s="83">
        <f>I17+K17/60</f>
        <v>49.623333333333335</v>
      </c>
      <c r="J25" s="20" t="s">
        <v>8</v>
      </c>
      <c r="K25" s="20"/>
      <c r="L25" s="20"/>
      <c r="M25" s="20"/>
      <c r="N25" s="20"/>
      <c r="O25" s="51" t="s">
        <v>0</v>
      </c>
      <c r="P25" s="83">
        <f>P17+R17/60</f>
        <v>27.776666666666667</v>
      </c>
      <c r="Q25" s="20" t="s">
        <v>8</v>
      </c>
      <c r="R25" s="20"/>
      <c r="S25" s="20"/>
      <c r="T25" s="20"/>
      <c r="U25" s="49"/>
      <c r="V25" s="30"/>
      <c r="W25" s="22"/>
      <c r="X25" s="20"/>
      <c r="Y25" s="42" t="s">
        <v>143</v>
      </c>
      <c r="Z25" s="85">
        <f>IF(M6="E",I6+K6/60,-(I6+K6/60))</f>
        <v>-123.43333333333334</v>
      </c>
      <c r="AA25" s="27">
        <f>RADIANS(Z25)</f>
        <v>-2.154318073378334</v>
      </c>
      <c r="AB25" s="28" t="s">
        <v>88</v>
      </c>
      <c r="AC25" s="98"/>
      <c r="AD25" s="5" t="s">
        <v>34</v>
      </c>
    </row>
    <row r="26" spans="1:30" ht="15.75">
      <c r="A26" s="51" t="s">
        <v>1</v>
      </c>
      <c r="B26" s="85">
        <f>B19+D19/60</f>
        <v>167.26833333333335</v>
      </c>
      <c r="C26" s="20" t="s">
        <v>8</v>
      </c>
      <c r="D26" s="20"/>
      <c r="E26" s="20"/>
      <c r="F26" s="20"/>
      <c r="G26" s="20"/>
      <c r="H26" s="51" t="s">
        <v>1</v>
      </c>
      <c r="I26" s="83">
        <f>I19+K19/60</f>
        <v>88.53</v>
      </c>
      <c r="J26" s="20" t="s">
        <v>8</v>
      </c>
      <c r="K26" s="20"/>
      <c r="L26" s="29"/>
      <c r="M26" s="20"/>
      <c r="N26" s="20"/>
      <c r="O26" s="51" t="s">
        <v>1</v>
      </c>
      <c r="P26" s="83">
        <f>P19+R19/60</f>
        <v>102.19333333333333</v>
      </c>
      <c r="Q26" s="20" t="s">
        <v>8</v>
      </c>
      <c r="R26" s="20"/>
      <c r="S26" s="20"/>
      <c r="T26" s="20"/>
      <c r="U26" s="49"/>
      <c r="V26" s="19"/>
      <c r="W26" s="24"/>
      <c r="X26" s="19"/>
      <c r="Y26" s="19"/>
      <c r="Z26" s="19"/>
      <c r="AA26" s="19"/>
      <c r="AB26" s="19"/>
      <c r="AC26" s="19"/>
      <c r="AD26" s="5" t="s">
        <v>35</v>
      </c>
    </row>
    <row r="27" spans="1:30" ht="15.75">
      <c r="A27" s="51" t="s">
        <v>86</v>
      </c>
      <c r="B27" s="85">
        <f>IF($M$4=F21,B21+D21/60,-(B21+D21/60))</f>
        <v>18.254999999999999</v>
      </c>
      <c r="C27" s="27">
        <f>RADIANS(B27)</f>
        <v>0.31860985495156485</v>
      </c>
      <c r="D27" s="29" t="s">
        <v>88</v>
      </c>
      <c r="E27" s="20"/>
      <c r="F27" s="20"/>
      <c r="G27" s="20"/>
      <c r="H27" s="51" t="s">
        <v>86</v>
      </c>
      <c r="I27" s="83">
        <f>IF($M$4=M21,I21+K21/60,-(I21+K21/60))</f>
        <v>19.164999999999999</v>
      </c>
      <c r="J27" s="27">
        <f>RADIANS(I27)</f>
        <v>0.33449235114471326</v>
      </c>
      <c r="K27" s="29" t="s">
        <v>88</v>
      </c>
      <c r="L27" s="20"/>
      <c r="M27" s="20"/>
      <c r="N27" s="20"/>
      <c r="O27" s="51" t="s">
        <v>86</v>
      </c>
      <c r="P27" s="83">
        <f>IF($M$4=T21,P21+R21/60,-(P21+R21/60))</f>
        <v>-11.18</v>
      </c>
      <c r="Q27" s="27">
        <f>RADIANS(P27)</f>
        <v>-0.19512781037296603</v>
      </c>
      <c r="R27" s="29" t="s">
        <v>88</v>
      </c>
      <c r="S27" s="20"/>
      <c r="T27" s="20"/>
      <c r="U27" s="49"/>
      <c r="V27" s="19"/>
      <c r="W27" s="19"/>
      <c r="X27" s="19"/>
      <c r="Y27" s="19"/>
      <c r="Z27" s="19"/>
      <c r="AA27" s="19"/>
      <c r="AB27" s="19"/>
      <c r="AC27" s="19"/>
      <c r="AD27" s="5" t="s">
        <v>36</v>
      </c>
    </row>
    <row r="28" spans="1:30" ht="15.75">
      <c r="A28" s="87"/>
      <c r="B28" s="87"/>
      <c r="C28" s="87"/>
      <c r="D28" s="87"/>
      <c r="E28" s="87"/>
      <c r="F28" s="87"/>
      <c r="G28" s="88"/>
      <c r="H28" s="87"/>
      <c r="I28" s="87"/>
      <c r="J28" s="87"/>
      <c r="K28" s="87"/>
      <c r="L28" s="87"/>
      <c r="M28" s="87"/>
      <c r="N28" s="88"/>
      <c r="O28" s="87"/>
      <c r="P28" s="87"/>
      <c r="Q28" s="87"/>
      <c r="R28" s="87"/>
      <c r="S28" s="87"/>
      <c r="T28" s="87"/>
      <c r="U28" s="88"/>
      <c r="V28" s="86"/>
      <c r="W28" s="87"/>
      <c r="X28" s="87"/>
      <c r="Y28" s="87"/>
      <c r="Z28" s="87"/>
      <c r="AA28" s="87"/>
      <c r="AB28" s="87"/>
      <c r="AC28" s="99"/>
      <c r="AD28" s="5" t="s">
        <v>37</v>
      </c>
    </row>
    <row r="29" spans="1:30" ht="15.75">
      <c r="A29" s="30"/>
      <c r="B29" s="100" t="s">
        <v>104</v>
      </c>
      <c r="C29" s="20"/>
      <c r="D29" s="20"/>
      <c r="E29" s="20"/>
      <c r="F29" s="20"/>
      <c r="G29" s="20"/>
      <c r="H29" s="30"/>
      <c r="I29" s="100" t="s">
        <v>105</v>
      </c>
      <c r="J29" s="20"/>
      <c r="K29" s="20"/>
      <c r="L29" s="20"/>
      <c r="M29" s="20"/>
      <c r="N29" s="20"/>
      <c r="O29" s="30"/>
      <c r="P29" s="100" t="s">
        <v>106</v>
      </c>
      <c r="Q29" s="20"/>
      <c r="R29" s="20"/>
      <c r="S29" s="20"/>
      <c r="T29" s="20"/>
      <c r="U29" s="49"/>
      <c r="V29" s="19"/>
      <c r="W29" s="19"/>
      <c r="X29" s="46" t="s">
        <v>144</v>
      </c>
      <c r="Z29" s="19"/>
      <c r="AA29" s="19"/>
      <c r="AB29" s="19"/>
      <c r="AC29" s="19"/>
      <c r="AD29" s="5" t="s">
        <v>38</v>
      </c>
    </row>
    <row r="30" spans="1:30" ht="16.5">
      <c r="A30" s="50" t="s">
        <v>133</v>
      </c>
      <c r="B30" s="39">
        <f>Z31+$B$24*($M$2/60)*SIN(RADIANS($I$2))/COS(RADIANS(AA30))</f>
        <v>-123.43333333333334</v>
      </c>
      <c r="C30" s="20" t="s">
        <v>8</v>
      </c>
      <c r="D30" s="20"/>
      <c r="E30" s="20"/>
      <c r="F30" s="20"/>
      <c r="G30" s="20"/>
      <c r="H30" s="50" t="s">
        <v>133</v>
      </c>
      <c r="I30" s="72">
        <f>Z31+$I$24*($M$2/60)*SIN(RADIANS($I$2))/COS(RADIANS(AA30))</f>
        <v>-123.43333333333334</v>
      </c>
      <c r="J30" s="20" t="s">
        <v>8</v>
      </c>
      <c r="K30" s="20"/>
      <c r="L30" s="20"/>
      <c r="M30" s="20"/>
      <c r="N30" s="20"/>
      <c r="O30" s="50" t="s">
        <v>133</v>
      </c>
      <c r="P30" s="72">
        <f>Z31+$P$24*($M$2/60)*SIN(RADIANS($I$2))/COS(RADIANS(AA30))</f>
        <v>-123.43333333333334</v>
      </c>
      <c r="Q30" s="20" t="s">
        <v>8</v>
      </c>
      <c r="R30" s="20"/>
      <c r="S30" s="20"/>
      <c r="T30" s="20"/>
      <c r="U30" s="49"/>
      <c r="V30" s="42" t="s">
        <v>3</v>
      </c>
      <c r="W30" s="39">
        <f>IF($F$2=3,COS(C36)*COS(C36) +COS(J36)*COS(J36) +COS(Q36)*COS(Q36), COS(C36)*COS(C36) +COS(J36)*COS(J36))</f>
        <v>1.3168736761105597</v>
      </c>
      <c r="Y30" s="42" t="s">
        <v>152</v>
      </c>
      <c r="Z30" s="39">
        <f>Z24</f>
        <v>48.141666666666666</v>
      </c>
      <c r="AA30" s="27">
        <f>RADIANS(Z30)</f>
        <v>0.84023059073093675</v>
      </c>
      <c r="AB30" s="28" t="s">
        <v>88</v>
      </c>
      <c r="AC30" s="19"/>
      <c r="AD30" s="5" t="s">
        <v>39</v>
      </c>
    </row>
    <row r="31" spans="1:30" ht="16.5">
      <c r="A31" s="51" t="s">
        <v>84</v>
      </c>
      <c r="B31" s="39">
        <f>MOD(360+$B$26+B30,360)</f>
        <v>43.83499999999998</v>
      </c>
      <c r="C31" s="27">
        <f>RADIANS(B31)</f>
        <v>0.76506507761171405</v>
      </c>
      <c r="D31" s="29" t="s">
        <v>88</v>
      </c>
      <c r="E31" s="20"/>
      <c r="F31" s="20"/>
      <c r="G31" s="20"/>
      <c r="H31" s="51" t="s">
        <v>84</v>
      </c>
      <c r="I31" s="72">
        <f>MOD(360+$I$26+I30,360)</f>
        <v>325.09666666666664</v>
      </c>
      <c r="J31" s="27">
        <f>RADIANS(I31)</f>
        <v>5.6740072205918315</v>
      </c>
      <c r="K31" s="29" t="s">
        <v>88</v>
      </c>
      <c r="L31" s="20"/>
      <c r="M31" s="20"/>
      <c r="N31" s="20"/>
      <c r="O31" s="51" t="s">
        <v>84</v>
      </c>
      <c r="P31" s="72">
        <f>MOD(360+$P$26+P30,360)</f>
        <v>338.76</v>
      </c>
      <c r="Q31" s="27">
        <f>RADIANS(P31)</f>
        <v>5.9124773740559906</v>
      </c>
      <c r="R31" s="29" t="s">
        <v>88</v>
      </c>
      <c r="S31" s="19"/>
      <c r="T31" s="20"/>
      <c r="U31" s="49"/>
      <c r="V31" s="42" t="s">
        <v>4</v>
      </c>
      <c r="W31" s="39">
        <f>IF($F$2=3,COS(C36)*SIN(C36)+COS(J36)*SIN(J36)+COS(Q36)*SIN(Q36),COS(C36)*SIN(C36)+COS(J36)*SIN(J36))</f>
        <v>-0.44960149987673997</v>
      </c>
      <c r="X31" s="19"/>
      <c r="Y31" s="42" t="s">
        <v>153</v>
      </c>
      <c r="Z31" s="39">
        <f>Z25</f>
        <v>-123.43333333333334</v>
      </c>
      <c r="AA31" s="19" t="s">
        <v>8</v>
      </c>
      <c r="AB31" s="19"/>
      <c r="AC31" s="19"/>
      <c r="AD31" s="5" t="s">
        <v>40</v>
      </c>
    </row>
    <row r="32" spans="1:30" ht="15.75">
      <c r="A32" s="50" t="s">
        <v>85</v>
      </c>
      <c r="B32" s="39">
        <f>Z30+$B$24*($M$2/60)*COS(RADIANS($I$2))</f>
        <v>48.141666666666666</v>
      </c>
      <c r="C32" s="27">
        <f>RADIANS(B32)</f>
        <v>0.84023059073093675</v>
      </c>
      <c r="D32" s="29" t="s">
        <v>88</v>
      </c>
      <c r="E32" s="20"/>
      <c r="F32" s="20"/>
      <c r="G32" s="20"/>
      <c r="H32" s="50" t="s">
        <v>85</v>
      </c>
      <c r="I32" s="72">
        <f>Z30+$I$24*($M$2/60)*COS(RADIANS($I$2))</f>
        <v>48.141666666666666</v>
      </c>
      <c r="J32" s="27">
        <f>RADIANS(I32)</f>
        <v>0.84023059073093675</v>
      </c>
      <c r="K32" s="29" t="s">
        <v>88</v>
      </c>
      <c r="L32" s="20"/>
      <c r="M32" s="20"/>
      <c r="N32" s="20"/>
      <c r="O32" s="50" t="s">
        <v>85</v>
      </c>
      <c r="P32" s="72">
        <f>Z30+$P$24*($M$2/60)*COS(RADIANS($I$2))</f>
        <v>48.141666666666666</v>
      </c>
      <c r="Q32" s="27">
        <f>RADIANS(P32)</f>
        <v>0.84023059073093675</v>
      </c>
      <c r="R32" s="29" t="s">
        <v>88</v>
      </c>
      <c r="S32" s="19"/>
      <c r="T32" s="20"/>
      <c r="U32" s="49"/>
      <c r="V32" s="42" t="s">
        <v>5</v>
      </c>
      <c r="W32" s="39">
        <f>IF($F$2=3,SIN(C36)*SIN(C36)+SIN(J36)*SIN(J36)+SIN(Q36)*SIN(Q36),SIN(C36)*SIN(C36)+SIN(J36)*SIN(J36))</f>
        <v>1.6831263238894403</v>
      </c>
      <c r="X32" s="19"/>
      <c r="Y32" s="19"/>
      <c r="Z32" s="19"/>
      <c r="AA32" s="19"/>
      <c r="AB32" s="19"/>
      <c r="AC32" s="19"/>
      <c r="AD32" s="5" t="s">
        <v>41</v>
      </c>
    </row>
    <row r="33" spans="1:38" ht="16.5">
      <c r="A33" s="51" t="s">
        <v>2</v>
      </c>
      <c r="B33" s="39">
        <f>DEGREES(ASIN((COS(C31)*COS(C32)*COS($C$27)+(SIN(C32)*SIN($C$27)))))</f>
        <v>43.663528473249222</v>
      </c>
      <c r="C33" s="27">
        <f>RADIANS(B33)</f>
        <v>0.76207233489649173</v>
      </c>
      <c r="D33" s="29" t="s">
        <v>88</v>
      </c>
      <c r="E33" s="20"/>
      <c r="F33" s="20"/>
      <c r="G33" s="20"/>
      <c r="H33" s="51" t="s">
        <v>2</v>
      </c>
      <c r="I33" s="72">
        <f>DEGREES(ASIN((COS(J31)*COS(J32)*COS($J$27)+(SIN(J32)*SIN($J$27)))))</f>
        <v>49.590991741751914</v>
      </c>
      <c r="J33" s="27">
        <f>RADIANS(I33)</f>
        <v>0.86552608522288843</v>
      </c>
      <c r="K33" s="29" t="s">
        <v>88</v>
      </c>
      <c r="L33" s="20"/>
      <c r="M33" s="20"/>
      <c r="N33" s="20"/>
      <c r="O33" s="51" t="s">
        <v>2</v>
      </c>
      <c r="P33" s="72">
        <f>DEGREES(ASIN((COS(Q31)*COS(Q32)*COS($Q$27)+(SIN(Q32)*SIN($Q$27)))))</f>
        <v>27.758744552599293</v>
      </c>
      <c r="Q33" s="27">
        <f>RADIANS(P33)</f>
        <v>0.48448148866289792</v>
      </c>
      <c r="R33" s="29" t="s">
        <v>88</v>
      </c>
      <c r="S33" s="19"/>
      <c r="T33" s="23"/>
      <c r="U33" s="49"/>
      <c r="V33" s="42" t="s">
        <v>6</v>
      </c>
      <c r="W33" s="39">
        <f>IF($F$2=3,(B34/60)*COS(C36)+(I34/60)*COS(J36)+(P34/60)*COS(Q36),(B34/60)*COS(C36)+(I34/60)*COS(J36))</f>
        <v>-1.8922396835362683E-2</v>
      </c>
      <c r="X33" s="19"/>
      <c r="Y33" s="42" t="s">
        <v>154</v>
      </c>
      <c r="Z33" s="39">
        <f>Z30+(W32*W33-W31*W34)/W35</f>
        <v>48.140961458288096</v>
      </c>
      <c r="AA33" s="19" t="s">
        <v>8</v>
      </c>
      <c r="AB33" s="19"/>
      <c r="AC33" s="19"/>
      <c r="AD33" s="5" t="s">
        <v>42</v>
      </c>
      <c r="AG33" s="24" t="s">
        <v>98</v>
      </c>
      <c r="AH33" s="39">
        <f>ABS(TRUNC(Z33))</f>
        <v>48</v>
      </c>
      <c r="AI33" s="20" t="s">
        <v>8</v>
      </c>
      <c r="AJ33" s="40">
        <f>(ABS(Z33)-AH33)*60</f>
        <v>8.4576874972857752</v>
      </c>
      <c r="AK33" s="59" t="s">
        <v>115</v>
      </c>
      <c r="AL33" s="41" t="str">
        <f>IF(Z33&lt;0,"S","N")</f>
        <v>N</v>
      </c>
    </row>
    <row r="34" spans="1:38" ht="16.5">
      <c r="A34" s="50" t="s">
        <v>92</v>
      </c>
      <c r="B34" s="39">
        <f>($B$25-B33)*60</f>
        <v>-2.2117083949534333</v>
      </c>
      <c r="C34" s="20" t="s">
        <v>9</v>
      </c>
      <c r="D34" s="20"/>
      <c r="E34" s="20"/>
      <c r="F34" s="20"/>
      <c r="G34" s="20"/>
      <c r="H34" s="51" t="s">
        <v>111</v>
      </c>
      <c r="I34" s="72">
        <f>($I$25-I33)*60</f>
        <v>1.9404954948852549</v>
      </c>
      <c r="J34" s="20" t="s">
        <v>9</v>
      </c>
      <c r="K34" s="20"/>
      <c r="L34" s="20"/>
      <c r="M34" s="20"/>
      <c r="N34" s="20"/>
      <c r="O34" s="50" t="s">
        <v>92</v>
      </c>
      <c r="P34" s="72">
        <f>($P$25-P33)*60</f>
        <v>1.075326844042479</v>
      </c>
      <c r="Q34" s="20" t="s">
        <v>9</v>
      </c>
      <c r="R34" s="20"/>
      <c r="T34" s="23"/>
      <c r="U34" s="49"/>
      <c r="V34" s="42" t="s">
        <v>7</v>
      </c>
      <c r="W34" s="39">
        <f>IF($F$2=3,(B34/60)*SIN(C36)+(I34/60)*SIN(J36)+(P34/60)*SIN(Q36),(B34/60)*SIN(C36)+(I34/60)*SIN(J36))</f>
        <v>6.7678303133895404E-2</v>
      </c>
      <c r="X34" s="19"/>
      <c r="Y34" s="42" t="s">
        <v>155</v>
      </c>
      <c r="Z34" s="39">
        <f>Z31+(W30*W34-W31*W33)/(W35*COS(AA30))</f>
        <v>-123.37335725975537</v>
      </c>
      <c r="AA34" s="19" t="s">
        <v>8</v>
      </c>
      <c r="AB34" s="19"/>
      <c r="AC34" s="19"/>
      <c r="AD34" s="5" t="s">
        <v>43</v>
      </c>
      <c r="AG34" s="36"/>
      <c r="AH34" s="19"/>
      <c r="AI34" s="19"/>
      <c r="AJ34" s="38"/>
      <c r="AK34" s="19"/>
      <c r="AL34" s="19"/>
    </row>
    <row r="35" spans="1:38" ht="15.75">
      <c r="A35" s="51" t="s">
        <v>77</v>
      </c>
      <c r="B35" s="39">
        <f>DEGREES(ACOS((SIN($C$27)-(SIN(C32)*SIN(C33)))/(COS(C32)*COS(C33))))</f>
        <v>114.60382967751619</v>
      </c>
      <c r="C35" s="27">
        <f>RADIANS(B35)</f>
        <v>2.0002141632674486</v>
      </c>
      <c r="D35" s="29" t="s">
        <v>88</v>
      </c>
      <c r="E35" s="20"/>
      <c r="F35" s="20"/>
      <c r="G35" s="20"/>
      <c r="H35" s="51" t="s">
        <v>77</v>
      </c>
      <c r="I35" s="72">
        <f>DEGREES(ACOS((SIN($J$27)-(SIN(J32)*SIN(J33)))/(COS(J32)*COS(J33))))</f>
        <v>123.51230963711592</v>
      </c>
      <c r="J35" s="27">
        <f>RADIANS(I35)</f>
        <v>2.1556964699103953</v>
      </c>
      <c r="K35" s="29" t="s">
        <v>88</v>
      </c>
      <c r="L35" s="20"/>
      <c r="M35" s="20"/>
      <c r="N35" s="20"/>
      <c r="O35" s="51" t="s">
        <v>77</v>
      </c>
      <c r="P35" s="72">
        <f>DEGREES(ACOS((SIN($Q$27)-(SIN(Q32)*SIN(Q33)))/(COS(Q32)*COS(Q33))))</f>
        <v>156.32049148199863</v>
      </c>
      <c r="Q35" s="27">
        <f>RADIANS(P35)</f>
        <v>2.7283072646966264</v>
      </c>
      <c r="R35" s="29" t="s">
        <v>88</v>
      </c>
      <c r="S35" s="20"/>
      <c r="T35" s="20"/>
      <c r="U35" s="49"/>
      <c r="V35" s="42" t="s">
        <v>89</v>
      </c>
      <c r="W35" s="39">
        <f>W30*W32-W31*W31</f>
        <v>2.0143232408073257</v>
      </c>
      <c r="X35" s="19"/>
      <c r="Y35" s="42" t="s">
        <v>91</v>
      </c>
      <c r="Z35" s="39">
        <f>60*SQRT(((Z34-Z31)*(Z34-Z31)*COS(AA30)*COS(AA30)+(Z33-Z30)*(Z33-Z30)))</f>
        <v>2.4016627675932116</v>
      </c>
      <c r="AA35" s="59" t="s">
        <v>142</v>
      </c>
      <c r="AB35" s="19"/>
      <c r="AC35" s="19"/>
      <c r="AD35" s="5" t="s">
        <v>44</v>
      </c>
      <c r="AG35" s="42" t="s">
        <v>100</v>
      </c>
      <c r="AH35" s="39">
        <f>ABS(TRUNC(Z34))</f>
        <v>123</v>
      </c>
      <c r="AI35" s="20" t="s">
        <v>8</v>
      </c>
      <c r="AJ35" s="40">
        <f>(ABS(Z34)-AH35)*60</f>
        <v>22.401435585321963</v>
      </c>
      <c r="AK35" s="59" t="s">
        <v>115</v>
      </c>
      <c r="AL35" s="41" t="str">
        <f>IF(Z34&lt;0,"W","E")</f>
        <v>W</v>
      </c>
    </row>
    <row r="36" spans="1:38" ht="15.75">
      <c r="A36" s="51" t="s">
        <v>87</v>
      </c>
      <c r="B36" s="57">
        <f>IF($M$4 = "N", IF(B31 &lt; 180, 360 -B35, B35), IF(B31 &lt; 180, 180 +B35, 180 -B35))</f>
        <v>245.39617032248381</v>
      </c>
      <c r="C36" s="27">
        <f>RADIANS(B36)</f>
        <v>4.2829711439121381</v>
      </c>
      <c r="D36" s="29" t="s">
        <v>88</v>
      </c>
      <c r="E36" s="20"/>
      <c r="F36" s="20"/>
      <c r="G36" s="20"/>
      <c r="H36" s="51" t="s">
        <v>87</v>
      </c>
      <c r="I36" s="73">
        <f>IF($M$4 = "N", IF(I31 &lt; 180, 360 -I35, I35), IF(I31 &lt; 180, 180 +I35, 180 -I35))</f>
        <v>123.51230963711592</v>
      </c>
      <c r="J36" s="27">
        <f>RADIANS(I36)</f>
        <v>2.1556964699103953</v>
      </c>
      <c r="K36" s="29" t="s">
        <v>88</v>
      </c>
      <c r="L36" s="20"/>
      <c r="M36" s="20"/>
      <c r="N36" s="20"/>
      <c r="O36" s="51" t="s">
        <v>87</v>
      </c>
      <c r="P36" s="73">
        <f>IF($M$4 = "N", IF(P31 &lt; 180, 360 -P35, P35), IF(P31 &lt; 180, 180 +P35, 180 -P35))</f>
        <v>156.32049148199863</v>
      </c>
      <c r="Q36" s="27">
        <f>RADIANS(P36)</f>
        <v>2.7283072646966264</v>
      </c>
      <c r="R36" s="29" t="s">
        <v>88</v>
      </c>
      <c r="S36" s="20"/>
      <c r="T36" s="20"/>
      <c r="U36" s="49"/>
      <c r="V36" s="19"/>
      <c r="W36" s="19"/>
      <c r="Y36" s="19"/>
      <c r="Z36" s="19"/>
      <c r="AA36" s="19"/>
      <c r="AB36" s="19"/>
      <c r="AC36" s="19"/>
      <c r="AD36" s="5" t="s">
        <v>45</v>
      </c>
    </row>
    <row r="37" spans="1:38" ht="15.75">
      <c r="A37" s="19"/>
      <c r="B37" s="19"/>
      <c r="C37" s="19"/>
      <c r="D37" s="19"/>
      <c r="E37" s="19"/>
      <c r="F37" s="19"/>
      <c r="G37" s="88"/>
      <c r="H37" s="19"/>
      <c r="I37" s="19"/>
      <c r="J37" s="19"/>
      <c r="K37" s="19"/>
      <c r="L37" s="19"/>
      <c r="M37" s="19"/>
      <c r="N37" s="88"/>
      <c r="O37" s="19"/>
      <c r="P37" s="19"/>
      <c r="Q37" s="19"/>
      <c r="R37" s="19"/>
      <c r="S37" s="20"/>
      <c r="T37" s="20"/>
      <c r="U37" s="49"/>
      <c r="V37" s="86"/>
      <c r="W37" s="87"/>
      <c r="X37" s="87"/>
      <c r="Y37" s="87"/>
      <c r="Z37" s="87"/>
      <c r="AA37" s="101"/>
      <c r="AB37" s="101"/>
      <c r="AC37" s="102"/>
      <c r="AD37" s="5" t="s">
        <v>46</v>
      </c>
    </row>
    <row r="38" spans="1:38" ht="15.75">
      <c r="A38" s="53"/>
      <c r="B38" s="54" t="s">
        <v>112</v>
      </c>
      <c r="C38" s="55"/>
      <c r="D38" s="55"/>
      <c r="E38" s="55"/>
      <c r="F38" s="55"/>
      <c r="G38" s="56"/>
      <c r="H38" s="55"/>
      <c r="I38" s="89" t="s">
        <v>113</v>
      </c>
      <c r="J38" s="55"/>
      <c r="K38" s="55"/>
      <c r="L38" s="90"/>
      <c r="M38" s="55"/>
      <c r="N38" s="56"/>
      <c r="O38" s="53"/>
      <c r="P38" s="89" t="s">
        <v>114</v>
      </c>
      <c r="Q38" s="55"/>
      <c r="R38" s="55"/>
      <c r="S38" s="55"/>
      <c r="T38" s="55"/>
      <c r="U38" s="56"/>
      <c r="V38" s="19"/>
      <c r="W38" s="19"/>
      <c r="X38" s="46" t="s">
        <v>145</v>
      </c>
      <c r="Y38" s="19"/>
      <c r="Z38" s="19"/>
      <c r="AA38" s="19"/>
      <c r="AB38" s="19"/>
      <c r="AC38" s="19"/>
      <c r="AD38" s="5" t="s">
        <v>47</v>
      </c>
    </row>
    <row r="39" spans="1:38" ht="16.5">
      <c r="A39" s="50" t="s">
        <v>133</v>
      </c>
      <c r="B39" s="39">
        <f>Z40+$B$24*($M$2/60)*SIN(RADIANS($I$2))/COS(RADIANS(AA39))</f>
        <v>-123.37335725975537</v>
      </c>
      <c r="C39" s="20" t="s">
        <v>8</v>
      </c>
      <c r="D39" s="20"/>
      <c r="E39" s="20"/>
      <c r="F39" s="20"/>
      <c r="G39" s="20"/>
      <c r="H39" s="50" t="s">
        <v>133</v>
      </c>
      <c r="I39" s="72">
        <f>Z40+$I$24*($M$2/60)*SIN(RADIANS($I$2))/COS(RADIANS(AA39))</f>
        <v>-123.37335725975537</v>
      </c>
      <c r="J39" s="20" t="s">
        <v>8</v>
      </c>
      <c r="K39" s="20"/>
      <c r="L39" s="20"/>
      <c r="M39" s="20"/>
      <c r="N39" s="20"/>
      <c r="O39" s="50" t="s">
        <v>133</v>
      </c>
      <c r="P39" s="72">
        <f>Z40+$P$24*($M$2/60)*SIN(RADIANS($I$2))/COS(RADIANS(AA39))</f>
        <v>-123.37335725975537</v>
      </c>
      <c r="Q39" s="20" t="s">
        <v>8</v>
      </c>
      <c r="R39" s="20"/>
      <c r="S39" s="20"/>
      <c r="T39" s="20"/>
      <c r="U39" s="49"/>
      <c r="V39" s="42" t="s">
        <v>3</v>
      </c>
      <c r="W39" s="39">
        <f>IF($F$2=3,COS(C45)*COS(C45) +COS(J45)*COS(J45) +COS(Q45)*COS(Q45), COS(C45)*COS(C45) +COS(J45)*COS(J45))</f>
        <v>1.3180098796662176</v>
      </c>
      <c r="X39" s="19"/>
      <c r="Y39" s="42" t="s">
        <v>154</v>
      </c>
      <c r="Z39" s="39">
        <f>Z33</f>
        <v>48.140961458288096</v>
      </c>
      <c r="AA39" s="27">
        <f>RADIANS(Z39)</f>
        <v>0.84021828252281816</v>
      </c>
      <c r="AB39" s="28" t="s">
        <v>88</v>
      </c>
      <c r="AC39" s="19"/>
      <c r="AD39" s="5" t="s">
        <v>48</v>
      </c>
    </row>
    <row r="40" spans="1:38" ht="16.5">
      <c r="A40" s="51" t="s">
        <v>84</v>
      </c>
      <c r="B40" s="39">
        <f>MOD(360+$B$26+B39,360)</f>
        <v>43.894976073577936</v>
      </c>
      <c r="C40" s="27">
        <f>RADIANS(B40)</f>
        <v>0.76611185756806777</v>
      </c>
      <c r="D40" s="29" t="s">
        <v>88</v>
      </c>
      <c r="E40" s="20"/>
      <c r="F40" s="20"/>
      <c r="G40" s="20"/>
      <c r="H40" s="51" t="s">
        <v>84</v>
      </c>
      <c r="I40" s="72">
        <f>MOD(360+$I$26+I39,360)</f>
        <v>325.15664274024459</v>
      </c>
      <c r="J40" s="27">
        <f>RADIANS(I40)</f>
        <v>5.6750540005481858</v>
      </c>
      <c r="K40" s="29" t="s">
        <v>88</v>
      </c>
      <c r="L40" s="20"/>
      <c r="M40" s="20"/>
      <c r="N40" s="20"/>
      <c r="O40" s="51" t="s">
        <v>84</v>
      </c>
      <c r="P40" s="72">
        <f>MOD(360+$P$26+P39,360)</f>
        <v>338.81997607357795</v>
      </c>
      <c r="Q40" s="27">
        <f>RADIANS(P40)</f>
        <v>5.913524154012344</v>
      </c>
      <c r="R40" s="29" t="s">
        <v>88</v>
      </c>
      <c r="S40" s="20"/>
      <c r="T40" s="20"/>
      <c r="U40" s="49"/>
      <c r="V40" s="42" t="s">
        <v>4</v>
      </c>
      <c r="W40" s="39">
        <f>IF($F$2=3,COS(C45)*SIN(C45)+COS(J45)*SIN(J45)+COS(Q45)*SIN(Q45),COS(C45)*SIN(C45)+COS(J45)*SIN(J45))</f>
        <v>-0.45001954098955699</v>
      </c>
      <c r="X40" s="19"/>
      <c r="Y40" s="42" t="s">
        <v>155</v>
      </c>
      <c r="Z40" s="39">
        <f>Z34</f>
        <v>-123.37335725975537</v>
      </c>
      <c r="AA40" s="19" t="s">
        <v>8</v>
      </c>
      <c r="AB40" s="19"/>
      <c r="AC40" s="19"/>
      <c r="AD40" s="5" t="s">
        <v>49</v>
      </c>
    </row>
    <row r="41" spans="1:38" ht="15.75">
      <c r="A41" s="50" t="s">
        <v>85</v>
      </c>
      <c r="B41" s="39">
        <f>Z39+$B$24*($M$2/60)*COS(RADIANS($I$2))</f>
        <v>48.140961458288096</v>
      </c>
      <c r="C41" s="27">
        <f>RADIANS(B41)</f>
        <v>0.84021828252281816</v>
      </c>
      <c r="D41" s="29" t="s">
        <v>88</v>
      </c>
      <c r="E41" s="20"/>
      <c r="F41" s="20"/>
      <c r="G41" s="20"/>
      <c r="H41" s="50" t="s">
        <v>85</v>
      </c>
      <c r="I41" s="72">
        <f>Z39+$I$24*($M$2/60)*COS(RADIANS($I$2))</f>
        <v>48.140961458288096</v>
      </c>
      <c r="J41" s="27">
        <f>RADIANS(I41)</f>
        <v>0.84021828252281816</v>
      </c>
      <c r="K41" s="29" t="s">
        <v>88</v>
      </c>
      <c r="L41" s="20"/>
      <c r="M41" s="20"/>
      <c r="N41" s="20"/>
      <c r="O41" s="50" t="s">
        <v>85</v>
      </c>
      <c r="P41" s="72">
        <f>Z39+$P$24*($M$2/60)*COS(RADIANS($I$2))</f>
        <v>48.140961458288096</v>
      </c>
      <c r="Q41" s="27">
        <f>RADIANS(P41)</f>
        <v>0.84021828252281816</v>
      </c>
      <c r="R41" s="29" t="s">
        <v>88</v>
      </c>
      <c r="S41" s="20"/>
      <c r="T41" s="19"/>
      <c r="U41" s="49"/>
      <c r="V41" s="42" t="s">
        <v>5</v>
      </c>
      <c r="W41" s="39">
        <f>IF($F$2=3,SIN(C45)*SIN(C45)+SIN(J45)*SIN(J45)+SIN(Q45)*SIN(Q45),SIN(C45)*SIN(C45)+SIN(J45)*SIN(J45))</f>
        <v>1.6819901203337824</v>
      </c>
      <c r="X41" s="19"/>
      <c r="Y41" s="19"/>
      <c r="Z41" s="19"/>
      <c r="AA41" s="19"/>
      <c r="AB41" s="19"/>
      <c r="AC41" s="19"/>
      <c r="AD41" s="5" t="s">
        <v>50</v>
      </c>
    </row>
    <row r="42" spans="1:38" ht="16.5">
      <c r="A42" s="51" t="s">
        <v>2</v>
      </c>
      <c r="B42" s="39">
        <f>DEGREES(ASIN((COS(C40)*COS(C41)*COS($C$27)+(SIN(C41)*SIN($C$27)))))</f>
        <v>43.627424721996015</v>
      </c>
      <c r="C42" s="27">
        <f>RADIANS(B42)</f>
        <v>0.76144220556480224</v>
      </c>
      <c r="D42" s="29" t="s">
        <v>88</v>
      </c>
      <c r="E42" s="20"/>
      <c r="F42" s="20"/>
      <c r="G42" s="20"/>
      <c r="H42" s="51" t="s">
        <v>2</v>
      </c>
      <c r="I42" s="72">
        <f>DEGREES(ASIN((COS(J40)*COS(J41)*COS($J$27)+(SIN(J41)*SIN($J$27)))))</f>
        <v>49.624736802961344</v>
      </c>
      <c r="J42" s="27">
        <f>RADIANS(I42)</f>
        <v>0.86611504764727998</v>
      </c>
      <c r="K42" s="29" t="s">
        <v>88</v>
      </c>
      <c r="L42" s="20"/>
      <c r="M42" s="20"/>
      <c r="N42" s="20"/>
      <c r="O42" s="51" t="s">
        <v>2</v>
      </c>
      <c r="P42" s="72">
        <f>DEGREES(ASIN((COS(Q40)*COS(Q41)*COS($Q$27)+(SIN(Q41)*SIN($Q$27)))))</f>
        <v>27.775443684541937</v>
      </c>
      <c r="Q42" s="27">
        <f>RADIANS(P42)</f>
        <v>0.48477294349752204</v>
      </c>
      <c r="R42" s="29" t="s">
        <v>88</v>
      </c>
      <c r="S42" s="20"/>
      <c r="T42" s="19"/>
      <c r="U42" s="15"/>
      <c r="V42" s="42" t="s">
        <v>6</v>
      </c>
      <c r="W42" s="39">
        <f>IF($F$2=3,(B43/60)*COS(C45)+(I43/60)*COS(J45)+(P43/60)*COS(Q45),(B43/60)*COS(C45)+(I43/60)*COS(J45))</f>
        <v>-2.9380330877549392E-5</v>
      </c>
      <c r="X42" s="19"/>
      <c r="Y42" s="42" t="s">
        <v>156</v>
      </c>
      <c r="Z42" s="39">
        <f>Z39+(W41*W42-W40*W43)/W44</f>
        <v>48.140939220875921</v>
      </c>
      <c r="AA42" s="19" t="s">
        <v>8</v>
      </c>
      <c r="AB42" s="19"/>
      <c r="AC42" s="19"/>
      <c r="AD42" s="5" t="s">
        <v>51</v>
      </c>
      <c r="AG42" s="42" t="s">
        <v>134</v>
      </c>
      <c r="AH42" s="39">
        <f>ABS(TRUNC(Z42))</f>
        <v>48</v>
      </c>
      <c r="AI42" s="20" t="s">
        <v>8</v>
      </c>
      <c r="AJ42" s="40">
        <f>(ABS(Z42)-AH42)*60</f>
        <v>8.4563532525552887</v>
      </c>
      <c r="AK42" s="59" t="s">
        <v>115</v>
      </c>
      <c r="AL42" s="41" t="str">
        <f>IF(Z42&lt;0,"S","N")</f>
        <v>N</v>
      </c>
    </row>
    <row r="43" spans="1:38" ht="16.5">
      <c r="A43" s="50" t="s">
        <v>92</v>
      </c>
      <c r="B43" s="39">
        <f>($B$25-B42)*60</f>
        <v>-4.5483319760961649E-2</v>
      </c>
      <c r="C43" s="20" t="s">
        <v>9</v>
      </c>
      <c r="D43" s="20"/>
      <c r="E43" s="20"/>
      <c r="F43" s="20"/>
      <c r="G43" s="20"/>
      <c r="H43" s="51" t="s">
        <v>111</v>
      </c>
      <c r="I43" s="72">
        <f>($I$25-I42)*60</f>
        <v>-8.4208177680551444E-2</v>
      </c>
      <c r="J43" s="20" t="s">
        <v>9</v>
      </c>
      <c r="K43" s="20"/>
      <c r="L43" s="20"/>
      <c r="M43" s="20"/>
      <c r="N43" s="20"/>
      <c r="O43" s="50" t="s">
        <v>92</v>
      </c>
      <c r="P43" s="72">
        <f>($P$25-P42)*60</f>
        <v>7.3378927483815914E-2</v>
      </c>
      <c r="Q43" s="20" t="s">
        <v>9</v>
      </c>
      <c r="R43" s="20"/>
      <c r="S43" s="20"/>
      <c r="T43" s="20"/>
      <c r="U43" s="49"/>
      <c r="V43" s="42" t="s">
        <v>7</v>
      </c>
      <c r="W43" s="39">
        <f>IF($F$2=3,(B43/60)*SIN(C45)+(I43/60)*SIN(J45)+(P43/60)*SIN(Q45),(B43/60)*SIN(C45)+(I43/60)*SIN(J45))</f>
        <v>1.0273393911743272E-5</v>
      </c>
      <c r="X43" s="19"/>
      <c r="Y43" s="42" t="s">
        <v>157</v>
      </c>
      <c r="Z43" s="39">
        <f>Z40+(W39*W43-W40*W42)/(W44*COS(AA39))</f>
        <v>-123.37335702265123</v>
      </c>
      <c r="AA43" s="19" t="s">
        <v>8</v>
      </c>
      <c r="AB43" s="19"/>
      <c r="AC43" s="19"/>
      <c r="AD43" s="5" t="s">
        <v>52</v>
      </c>
      <c r="AG43" s="36"/>
      <c r="AH43" s="19"/>
      <c r="AI43" s="19"/>
      <c r="AJ43" s="38"/>
      <c r="AK43" s="19"/>
      <c r="AL43" s="19"/>
    </row>
    <row r="44" spans="1:38" ht="15.75">
      <c r="A44" s="51" t="s">
        <v>77</v>
      </c>
      <c r="B44" s="39">
        <f>DEGREES(ACOS((SIN($C$27)-(SIN(C41)*SIN(C42)))/(COS(C41)*COS(C42))))</f>
        <v>114.54267379715168</v>
      </c>
      <c r="C44" s="27">
        <f>RADIANS(B44)</f>
        <v>1.9991467917981323</v>
      </c>
      <c r="D44" s="29" t="s">
        <v>88</v>
      </c>
      <c r="E44" s="20"/>
      <c r="F44" s="20"/>
      <c r="G44" s="20"/>
      <c r="H44" s="51" t="s">
        <v>77</v>
      </c>
      <c r="I44" s="72">
        <f>DEGREES(ACOS((SIN($J$27)-(SIN(J41)*SIN(J42)))/(COS(J41)*COS(J42))))</f>
        <v>123.58228326889396</v>
      </c>
      <c r="J44" s="27">
        <f>RADIANS(I44)</f>
        <v>2.1569177401745003</v>
      </c>
      <c r="K44" s="29" t="s">
        <v>88</v>
      </c>
      <c r="L44" s="20"/>
      <c r="M44" s="20"/>
      <c r="N44" s="20"/>
      <c r="O44" s="51" t="s">
        <v>77</v>
      </c>
      <c r="P44" s="72">
        <f>DEGREES(ACOS((SIN($Q$27)-(SIN(Q41)*SIN(Q42)))/(COS(Q41)*COS(Q42))))</f>
        <v>156.38431463381983</v>
      </c>
      <c r="Q44" s="27">
        <f>RADIANS(P44)</f>
        <v>2.7294211888349063</v>
      </c>
      <c r="R44" s="29" t="s">
        <v>88</v>
      </c>
      <c r="S44" s="20"/>
      <c r="T44" s="20"/>
      <c r="U44" s="49"/>
      <c r="V44" s="42" t="s">
        <v>89</v>
      </c>
      <c r="W44" s="39">
        <f>W39*W41-W40*W40</f>
        <v>2.014362008828444</v>
      </c>
      <c r="X44" s="19"/>
      <c r="Y44" s="42" t="s">
        <v>91</v>
      </c>
      <c r="Z44" s="39">
        <f>60*SQRT(((Z43-Z40)*(Z43-Z40)*COS(AA39)*COS(AA39)+(Z42-Z39)*(Z42-Z39)))</f>
        <v>1.3342785021423272E-3</v>
      </c>
      <c r="AA44" s="59" t="s">
        <v>142</v>
      </c>
      <c r="AB44" s="19"/>
      <c r="AC44" s="19"/>
      <c r="AD44" s="5" t="s">
        <v>53</v>
      </c>
      <c r="AG44" s="42" t="s">
        <v>135</v>
      </c>
      <c r="AH44" s="39">
        <f>ABS(TRUNC(Z43))</f>
        <v>123</v>
      </c>
      <c r="AI44" s="20" t="s">
        <v>8</v>
      </c>
      <c r="AJ44" s="40">
        <f>(ABS(Z43)-AH44)*60</f>
        <v>22.40142135907405</v>
      </c>
      <c r="AK44" s="59" t="s">
        <v>115</v>
      </c>
      <c r="AL44" s="41" t="str">
        <f>IF(Z43&lt;0,"W","E")</f>
        <v>W</v>
      </c>
    </row>
    <row r="45" spans="1:38" ht="15.75">
      <c r="A45" s="51" t="s">
        <v>87</v>
      </c>
      <c r="B45" s="57">
        <f>IF($M$4 = "N", IF(B40 &lt; 180, 360 -B44, B44), IF(B40 &lt; 180, 180 +B44, 180 -B44))</f>
        <v>245.45732620284832</v>
      </c>
      <c r="C45" s="27">
        <f>RADIANS(B45)</f>
        <v>4.2840385153814537</v>
      </c>
      <c r="D45" s="29" t="s">
        <v>88</v>
      </c>
      <c r="E45" s="20"/>
      <c r="F45" s="20"/>
      <c r="G45" s="20"/>
      <c r="H45" s="51" t="s">
        <v>87</v>
      </c>
      <c r="I45" s="73">
        <f>IF($M$4 = "N", IF(I40 &lt; 180, 360 -I44, I44), IF(I40 &lt; 180, 180 +I44, 180 -I44))</f>
        <v>123.58228326889396</v>
      </c>
      <c r="J45" s="27">
        <f>RADIANS(I45)</f>
        <v>2.1569177401745003</v>
      </c>
      <c r="K45" s="29" t="s">
        <v>88</v>
      </c>
      <c r="L45" s="20"/>
      <c r="M45" s="20"/>
      <c r="N45" s="20"/>
      <c r="O45" s="51" t="s">
        <v>87</v>
      </c>
      <c r="P45" s="73">
        <f>IF($M$4 = "N", IF(P40 &lt; 180, 360 -P44, P44), IF(P40 &lt; 180, 180 +P44, 180 -P44))</f>
        <v>156.38431463381983</v>
      </c>
      <c r="Q45" s="27">
        <f>RADIANS(P45)</f>
        <v>2.7294211888349063</v>
      </c>
      <c r="R45" s="29" t="s">
        <v>88</v>
      </c>
      <c r="S45" s="20"/>
      <c r="T45" s="20"/>
      <c r="U45" s="49"/>
      <c r="V45" s="20"/>
      <c r="W45" s="19"/>
      <c r="X45" s="19"/>
      <c r="Y45" s="19"/>
      <c r="Z45" s="19"/>
      <c r="AA45" s="19"/>
      <c r="AB45" s="19"/>
      <c r="AC45" s="19"/>
      <c r="AD45" s="5" t="s">
        <v>54</v>
      </c>
    </row>
    <row r="46" spans="1:38" ht="15.75">
      <c r="A46" s="19"/>
      <c r="B46" s="19"/>
      <c r="C46" s="19"/>
      <c r="D46" s="19"/>
      <c r="E46" s="19"/>
      <c r="F46" s="19"/>
      <c r="G46" s="19"/>
      <c r="H46" s="30"/>
      <c r="I46" s="19"/>
      <c r="J46" s="19"/>
      <c r="K46" s="19"/>
      <c r="L46" s="19"/>
      <c r="M46" s="19"/>
      <c r="N46" s="49"/>
      <c r="O46" s="19"/>
      <c r="P46" s="19"/>
      <c r="Q46" s="19"/>
      <c r="R46" s="19"/>
      <c r="S46" s="19"/>
      <c r="T46" s="20"/>
      <c r="U46" s="20"/>
      <c r="V46" s="86"/>
      <c r="W46" s="87"/>
      <c r="X46" s="87"/>
      <c r="Y46" s="87"/>
      <c r="Z46" s="87"/>
      <c r="AA46" s="87"/>
      <c r="AB46" s="87"/>
      <c r="AC46" s="99"/>
      <c r="AD46" s="5" t="s">
        <v>55</v>
      </c>
    </row>
    <row r="47" spans="1:38" ht="15.75">
      <c r="A47" s="53"/>
      <c r="B47" s="54" t="s">
        <v>136</v>
      </c>
      <c r="C47" s="55"/>
      <c r="D47" s="55"/>
      <c r="E47" s="55"/>
      <c r="F47" s="55"/>
      <c r="G47" s="55"/>
      <c r="H47" s="53"/>
      <c r="I47" s="89" t="s">
        <v>137</v>
      </c>
      <c r="J47" s="55"/>
      <c r="K47" s="55"/>
      <c r="L47" s="90"/>
      <c r="M47" s="55"/>
      <c r="N47" s="56"/>
      <c r="O47" s="55"/>
      <c r="P47" s="89" t="s">
        <v>138</v>
      </c>
      <c r="Q47" s="55"/>
      <c r="R47" s="55"/>
      <c r="S47" s="55"/>
      <c r="T47" s="55"/>
      <c r="U47" s="56"/>
      <c r="V47" s="19"/>
      <c r="W47" s="19"/>
      <c r="X47" s="46" t="s">
        <v>146</v>
      </c>
      <c r="Y47" s="19"/>
      <c r="Z47" s="19"/>
      <c r="AA47" s="19"/>
      <c r="AB47" s="19"/>
      <c r="AC47" s="19"/>
      <c r="AD47" s="5" t="s">
        <v>56</v>
      </c>
    </row>
    <row r="48" spans="1:38" ht="16.5">
      <c r="A48" s="50" t="s">
        <v>133</v>
      </c>
      <c r="B48" s="39">
        <f>Z49+$B$24*($M$2/60)*SIN(RADIANS($I$2))/COS(RADIANS(AA48))</f>
        <v>-123.37335702265123</v>
      </c>
      <c r="C48" s="20" t="s">
        <v>8</v>
      </c>
      <c r="D48" s="20"/>
      <c r="E48" s="20"/>
      <c r="F48" s="20"/>
      <c r="G48" s="20"/>
      <c r="H48" s="50" t="s">
        <v>133</v>
      </c>
      <c r="I48" s="72">
        <f>Z49+$I$24*($M$2/60)*SIN(RADIANS($I$2))/COS(RADIANS(AA48))</f>
        <v>-123.37335702265123</v>
      </c>
      <c r="J48" s="20" t="s">
        <v>8</v>
      </c>
      <c r="K48" s="20"/>
      <c r="L48" s="20"/>
      <c r="M48" s="20"/>
      <c r="N48" s="20"/>
      <c r="O48" s="50" t="s">
        <v>133</v>
      </c>
      <c r="P48" s="72">
        <f>Z49+$P$24*($M$2/60)*SIN(RADIANS($I$2))/COS(RADIANS(AA48))</f>
        <v>-123.37335702265123</v>
      </c>
      <c r="Q48" s="20" t="s">
        <v>8</v>
      </c>
      <c r="R48" s="20"/>
      <c r="S48" s="20"/>
      <c r="T48" s="20"/>
      <c r="U48" s="49"/>
      <c r="V48" s="24" t="s">
        <v>3</v>
      </c>
      <c r="W48" s="39">
        <f>IF($F$2=3,COS(C54)*COS(C54) +COS(J54)*COS(J54) +COS(Q54)*COS(Q54), COS(C54)*COS(C54) +COS(J54)*COS(J54))</f>
        <v>1.3180092193741308</v>
      </c>
      <c r="X48" s="19"/>
      <c r="Y48" s="42" t="s">
        <v>156</v>
      </c>
      <c r="Z48" s="39">
        <f>Z42</f>
        <v>48.140939220875921</v>
      </c>
      <c r="AA48" s="27">
        <f>RADIANS(Z48)</f>
        <v>0.84021789440675854</v>
      </c>
      <c r="AB48" s="28" t="s">
        <v>88</v>
      </c>
      <c r="AC48" s="19"/>
      <c r="AD48" s="5" t="s">
        <v>57</v>
      </c>
    </row>
    <row r="49" spans="1:38" ht="16.5">
      <c r="A49" s="51" t="s">
        <v>84</v>
      </c>
      <c r="B49" s="39">
        <f>MOD(360+$B$26+B48,360)</f>
        <v>43.894976310682068</v>
      </c>
      <c r="C49" s="27">
        <f>RADIANS(B49)</f>
        <v>0.76611186170631551</v>
      </c>
      <c r="D49" s="29" t="s">
        <v>88</v>
      </c>
      <c r="E49" s="20"/>
      <c r="F49" s="20"/>
      <c r="G49" s="20"/>
      <c r="H49" s="51" t="s">
        <v>84</v>
      </c>
      <c r="I49" s="72">
        <f>MOD(360+$I$26+I48,360)</f>
        <v>325.15664297734872</v>
      </c>
      <c r="J49" s="27">
        <f>RADIANS(I49)</f>
        <v>5.6750540046864328</v>
      </c>
      <c r="K49" s="29" t="s">
        <v>88</v>
      </c>
      <c r="L49" s="20"/>
      <c r="M49" s="20"/>
      <c r="N49" s="20"/>
      <c r="O49" s="51" t="s">
        <v>84</v>
      </c>
      <c r="P49" s="72">
        <f>MOD(360+$P$26+P48,360)</f>
        <v>338.81997631068208</v>
      </c>
      <c r="Q49" s="27">
        <f>RADIANS(P49)</f>
        <v>5.913524158150592</v>
      </c>
      <c r="R49" s="29" t="s">
        <v>88</v>
      </c>
      <c r="S49" s="20"/>
      <c r="T49" s="20"/>
      <c r="U49" s="49"/>
      <c r="V49" s="24" t="s">
        <v>4</v>
      </c>
      <c r="W49" s="39">
        <f>IF($F$2=3,COS(C54)*SIN(C54)+COS(J54)*SIN(J54)+COS(Q54)*SIN(Q54),COS(C54)*SIN(C54)+COS(J54)*SIN(J54))</f>
        <v>-0.45001967105947727</v>
      </c>
      <c r="X49" s="19"/>
      <c r="Y49" s="42" t="s">
        <v>157</v>
      </c>
      <c r="Z49" s="39">
        <f>Z43</f>
        <v>-123.37335702265123</v>
      </c>
      <c r="AA49" s="19" t="s">
        <v>8</v>
      </c>
      <c r="AB49" s="19"/>
      <c r="AC49" s="19"/>
      <c r="AD49" s="5" t="s">
        <v>58</v>
      </c>
    </row>
    <row r="50" spans="1:38" ht="15.75">
      <c r="A50" s="50" t="s">
        <v>85</v>
      </c>
      <c r="B50" s="39">
        <f>Z48+$B$24*($M$2/60)*COS(RADIANS($I$2))</f>
        <v>48.140939220875921</v>
      </c>
      <c r="C50" s="27">
        <f>RADIANS(B50)</f>
        <v>0.84021789440675854</v>
      </c>
      <c r="D50" s="29" t="s">
        <v>88</v>
      </c>
      <c r="E50" s="20"/>
      <c r="F50" s="20"/>
      <c r="G50" s="20"/>
      <c r="H50" s="50" t="s">
        <v>85</v>
      </c>
      <c r="I50" s="72">
        <f>Z48+$I$24*($M$2/60)*COS(RADIANS($I$2))</f>
        <v>48.140939220875921</v>
      </c>
      <c r="J50" s="27">
        <f>RADIANS(I50)</f>
        <v>0.84021789440675854</v>
      </c>
      <c r="K50" s="29" t="s">
        <v>88</v>
      </c>
      <c r="L50" s="20"/>
      <c r="M50" s="20"/>
      <c r="N50" s="20"/>
      <c r="O50" s="50" t="s">
        <v>85</v>
      </c>
      <c r="P50" s="72">
        <f>Z48+$P$24*($M$2/60)*COS(RADIANS($I$2))</f>
        <v>48.140939220875921</v>
      </c>
      <c r="Q50" s="27">
        <f>RADIANS(P50)</f>
        <v>0.84021789440675854</v>
      </c>
      <c r="R50" s="29" t="s">
        <v>88</v>
      </c>
      <c r="S50" s="20"/>
      <c r="T50" s="20"/>
      <c r="U50" s="49"/>
      <c r="V50" s="24" t="s">
        <v>5</v>
      </c>
      <c r="W50" s="39">
        <f>IF($F$2=3,SIN(C54)*SIN(C54)+SIN(J54)*SIN(J54)+SIN(Q54)*SIN(Q54),SIN(C54)*SIN(C54)+SIN(J54)*SIN(J54))</f>
        <v>1.6819907806258696</v>
      </c>
      <c r="X50" s="19"/>
      <c r="AA50" s="28"/>
      <c r="AB50" s="28"/>
      <c r="AD50" s="5" t="s">
        <v>59</v>
      </c>
    </row>
    <row r="51" spans="1:38" ht="16.5">
      <c r="A51" s="51" t="s">
        <v>2</v>
      </c>
      <c r="B51" s="39">
        <f>DEGREES(ASIN((COS(C49)*COS(C50)*COS($C$27)+(SIN(C50)*SIN($C$27)))))</f>
        <v>43.627433814840806</v>
      </c>
      <c r="C51" s="27">
        <f>RADIANS(B51)</f>
        <v>0.76144236426488221</v>
      </c>
      <c r="D51" s="29" t="s">
        <v>88</v>
      </c>
      <c r="E51" s="20"/>
      <c r="F51" s="20"/>
      <c r="G51" s="20"/>
      <c r="H51" s="51" t="s">
        <v>2</v>
      </c>
      <c r="I51" s="72">
        <f>DEGREES(ASIN((COS(J49)*COS(J50)*COS($J$27)+(SIN(J50)*SIN($J$27)))))</f>
        <v>49.624749235037541</v>
      </c>
      <c r="J51" s="27">
        <f>RADIANS(I51)</f>
        <v>0.86611526462794253</v>
      </c>
      <c r="K51" s="29" t="s">
        <v>88</v>
      </c>
      <c r="L51" s="20"/>
      <c r="M51" s="20"/>
      <c r="N51" s="20"/>
      <c r="O51" s="51" t="s">
        <v>2</v>
      </c>
      <c r="P51" s="72">
        <f>DEGREES(ASIN((COS(Q49)*COS(Q50)*COS($Q$27)+(SIN(Q50)*SIN($Q$27)))))</f>
        <v>27.775464123022125</v>
      </c>
      <c r="Q51" s="27">
        <f>RADIANS(P51)</f>
        <v>0.48477330021629544</v>
      </c>
      <c r="R51" s="29" t="s">
        <v>88</v>
      </c>
      <c r="S51" s="20"/>
      <c r="T51" s="20"/>
      <c r="U51" s="49"/>
      <c r="V51" s="24" t="s">
        <v>6</v>
      </c>
      <c r="W51" s="39">
        <f>IF($F$2=3,(B52/60)*COS(C54)+(I52/60)*COS(J54)+(P52/60)*COS(Q54),(B52/60)*COS(C54)+(I52/60)*COS(J54))</f>
        <v>-6.4687944128886954E-10</v>
      </c>
      <c r="X51" s="19"/>
      <c r="Y51" s="42" t="s">
        <v>158</v>
      </c>
      <c r="Z51" s="39">
        <f>Z48+(W50*W51-W49*W52)/W53</f>
        <v>48.140939220313392</v>
      </c>
      <c r="AA51" s="19" t="s">
        <v>8</v>
      </c>
      <c r="AB51" s="19"/>
      <c r="AC51" s="19"/>
      <c r="AD51" s="5" t="s">
        <v>60</v>
      </c>
      <c r="AG51" s="42" t="s">
        <v>139</v>
      </c>
      <c r="AH51" s="39">
        <f>ABS(TRUNC(Z51))</f>
        <v>48</v>
      </c>
      <c r="AI51" s="20" t="s">
        <v>8</v>
      </c>
      <c r="AJ51" s="40">
        <f>(ABS(Z51)-AH51)*60</f>
        <v>8.456353218803514</v>
      </c>
      <c r="AK51" s="59" t="s">
        <v>115</v>
      </c>
      <c r="AL51" s="41" t="str">
        <f>IF(Z51&lt;0,"S","N")</f>
        <v>N</v>
      </c>
    </row>
    <row r="52" spans="1:38" ht="16.5">
      <c r="A52" s="50" t="s">
        <v>92</v>
      </c>
      <c r="B52" s="39">
        <f>($B$25-B51)*60</f>
        <v>-4.6028890448468474E-2</v>
      </c>
      <c r="C52" s="20" t="s">
        <v>9</v>
      </c>
      <c r="D52" s="20"/>
      <c r="E52" s="20"/>
      <c r="F52" s="20"/>
      <c r="G52" s="20"/>
      <c r="H52" s="51" t="s">
        <v>111</v>
      </c>
      <c r="I52" s="72">
        <f>($I$25-I51)*60</f>
        <v>-8.4954102252368102E-2</v>
      </c>
      <c r="J52" s="20" t="s">
        <v>9</v>
      </c>
      <c r="K52" s="20"/>
      <c r="L52" s="20"/>
      <c r="M52" s="20"/>
      <c r="N52" s="20"/>
      <c r="O52" s="50" t="s">
        <v>92</v>
      </c>
      <c r="P52" s="72">
        <f>($P$25-P51)*60</f>
        <v>7.2152618672518543E-2</v>
      </c>
      <c r="Q52" s="20" t="s">
        <v>9</v>
      </c>
      <c r="R52" s="20"/>
      <c r="S52" s="20"/>
      <c r="T52" s="19"/>
      <c r="U52" s="49"/>
      <c r="V52" s="24" t="s">
        <v>7</v>
      </c>
      <c r="W52" s="39">
        <f>IF($F$2=3,(B52/60)*SIN(C54)+(I52/60)*SIN(J54)+(P52/60)*SIN(Q54),(B52/60)*SIN(C54)+(I52/60)*SIN(J54))</f>
        <v>-1.0021000126708354E-10</v>
      </c>
      <c r="X52" s="19"/>
      <c r="Y52" s="42" t="s">
        <v>159</v>
      </c>
      <c r="Z52" s="39">
        <f>Z49+(W48*W52-W49*W51)/(W53*COS(AA48))</f>
        <v>-123.37335702296606</v>
      </c>
      <c r="AA52" s="19" t="s">
        <v>8</v>
      </c>
      <c r="AB52" s="19"/>
      <c r="AC52" s="19"/>
      <c r="AD52" s="5" t="s">
        <v>61</v>
      </c>
      <c r="AG52" s="36"/>
      <c r="AH52" s="19"/>
      <c r="AI52" s="19"/>
      <c r="AJ52" s="38"/>
      <c r="AK52" s="19"/>
      <c r="AL52" s="19"/>
    </row>
    <row r="53" spans="1:38" ht="15.75">
      <c r="A53" s="51" t="s">
        <v>77</v>
      </c>
      <c r="B53" s="39">
        <f>DEGREES(ACOS((SIN($C$27)-(SIN(C50)*SIN(C51)))/(COS(C50)*COS(C51))))</f>
        <v>114.5426542762801</v>
      </c>
      <c r="C53" s="27">
        <f>RADIANS(B53)</f>
        <v>1.9991464510946504</v>
      </c>
      <c r="D53" s="29" t="s">
        <v>88</v>
      </c>
      <c r="E53" s="20"/>
      <c r="F53" s="20"/>
      <c r="G53" s="20"/>
      <c r="H53" s="51" t="s">
        <v>77</v>
      </c>
      <c r="I53" s="72">
        <f>DEGREES(ACOS((SIN($J$27)-(SIN(J50)*SIN(J51)))/(COS(J50)*COS(J51))))</f>
        <v>123.58226176158836</v>
      </c>
      <c r="J53" s="27">
        <f>RADIANS(I53)</f>
        <v>2.1569173648012043</v>
      </c>
      <c r="K53" s="29" t="s">
        <v>88</v>
      </c>
      <c r="L53" s="20"/>
      <c r="M53" s="20"/>
      <c r="N53" s="20"/>
      <c r="O53" s="51" t="s">
        <v>77</v>
      </c>
      <c r="P53" s="72">
        <f>DEGREES(ACOS((SIN($Q$27)-(SIN(Q50)*SIN(Q51)))/(COS(Q50)*COS(Q51))))</f>
        <v>156.3843101948261</v>
      </c>
      <c r="Q53" s="27">
        <f>RADIANS(P53)</f>
        <v>2.7294211113598505</v>
      </c>
      <c r="R53" s="29" t="s">
        <v>88</v>
      </c>
      <c r="S53" s="20"/>
      <c r="T53" s="20"/>
      <c r="U53" s="49"/>
      <c r="V53" s="24" t="s">
        <v>89</v>
      </c>
      <c r="W53" s="39">
        <f>W48*W50-W49*W49</f>
        <v>2.0143616514267073</v>
      </c>
      <c r="X53" s="19"/>
      <c r="Y53" s="42" t="s">
        <v>91</v>
      </c>
      <c r="Z53" s="39">
        <f>60*SQRT(((Z52-Z49)*(Z52-Z49)*COS(AA48)*COS(AA48)+(Z51-Z48)*(Z51-Z48)))</f>
        <v>3.6028737955343166E-8</v>
      </c>
      <c r="AA53" s="59" t="s">
        <v>142</v>
      </c>
      <c r="AB53" s="19"/>
      <c r="AC53" s="19"/>
      <c r="AD53" s="5" t="s">
        <v>62</v>
      </c>
      <c r="AG53" s="42" t="s">
        <v>140</v>
      </c>
      <c r="AH53" s="39">
        <f>ABS(TRUNC(Z52))</f>
        <v>123</v>
      </c>
      <c r="AI53" s="20" t="s">
        <v>8</v>
      </c>
      <c r="AJ53" s="40">
        <f>(ABS(Z52)-AH53)*60</f>
        <v>22.401421377963686</v>
      </c>
      <c r="AK53" s="59" t="s">
        <v>115</v>
      </c>
      <c r="AL53" s="41" t="str">
        <f>IF(Z52&lt;0,"W","E")</f>
        <v>W</v>
      </c>
    </row>
    <row r="54" spans="1:38" ht="15.75">
      <c r="A54" s="51" t="s">
        <v>87</v>
      </c>
      <c r="B54" s="57">
        <f>IF($M$4 = "N", IF(B49 &lt; 180, 360 -B53, B53), IF(B49 &lt; 180, 180 +B53, 180 -B53))</f>
        <v>245.4573457237199</v>
      </c>
      <c r="C54" s="27">
        <f>RADIANS(B54)</f>
        <v>4.2840388560849361</v>
      </c>
      <c r="D54" s="29" t="s">
        <v>88</v>
      </c>
      <c r="E54" s="20"/>
      <c r="F54" s="20"/>
      <c r="G54" s="20"/>
      <c r="H54" s="51" t="s">
        <v>87</v>
      </c>
      <c r="I54" s="73">
        <f>IF($M$4 = "N", IF(I49 &lt; 180, 360 -I53, I53), IF(I49 &lt; 180, 180 +I53, 180 -I53))</f>
        <v>123.58226176158836</v>
      </c>
      <c r="J54" s="27">
        <f>RADIANS(I54)</f>
        <v>2.1569173648012043</v>
      </c>
      <c r="K54" s="29" t="s">
        <v>88</v>
      </c>
      <c r="L54" s="20"/>
      <c r="M54" s="20"/>
      <c r="N54" s="20"/>
      <c r="O54" s="51" t="s">
        <v>87</v>
      </c>
      <c r="P54" s="73">
        <f>IF($M$4 = "N", IF(P49 &lt; 180, 360 -P53, P53), IF(P49 &lt; 180, 180 +P53, 180 -P53))</f>
        <v>156.3843101948261</v>
      </c>
      <c r="Q54" s="27">
        <f>RADIANS(P54)</f>
        <v>2.7294211113598505</v>
      </c>
      <c r="R54" s="29" t="s">
        <v>88</v>
      </c>
      <c r="S54" s="20"/>
      <c r="T54" s="20"/>
      <c r="U54" s="20"/>
      <c r="V54" s="30"/>
      <c r="W54" s="19"/>
      <c r="X54" s="19"/>
      <c r="Y54" s="19"/>
      <c r="Z54" s="19"/>
      <c r="AA54" s="19"/>
      <c r="AB54" s="19"/>
      <c r="AC54" s="19"/>
      <c r="AD54" s="5" t="s">
        <v>63</v>
      </c>
    </row>
    <row r="55" spans="1:38" ht="15.75">
      <c r="A55" s="19"/>
      <c r="B55" s="19"/>
      <c r="C55" s="19"/>
      <c r="D55" s="19"/>
      <c r="E55" s="19"/>
      <c r="F55" s="19"/>
      <c r="G55" s="19"/>
      <c r="H55" s="91"/>
      <c r="I55" s="19"/>
      <c r="J55" s="19"/>
      <c r="K55" s="19"/>
      <c r="L55" s="19"/>
      <c r="M55" s="19"/>
      <c r="N55" s="74"/>
      <c r="O55" s="19"/>
      <c r="P55" s="19"/>
      <c r="Q55" s="19"/>
      <c r="R55" s="19"/>
      <c r="S55" s="20"/>
      <c r="T55" s="20"/>
      <c r="U55" s="49"/>
      <c r="V55" s="91"/>
      <c r="W55" s="25"/>
      <c r="X55" s="25"/>
      <c r="Y55" s="25"/>
      <c r="Z55" s="25"/>
      <c r="AA55" s="25"/>
      <c r="AB55" s="25"/>
      <c r="AC55" s="103"/>
      <c r="AD55" s="5" t="s">
        <v>64</v>
      </c>
    </row>
    <row r="56" spans="1:38" ht="15.75">
      <c r="A56" s="53"/>
      <c r="B56" s="54" t="s">
        <v>147</v>
      </c>
      <c r="C56" s="55"/>
      <c r="D56" s="55"/>
      <c r="E56" s="55"/>
      <c r="F56" s="55"/>
      <c r="G56" s="55"/>
      <c r="H56" s="53"/>
      <c r="I56" s="89" t="s">
        <v>148</v>
      </c>
      <c r="J56" s="55"/>
      <c r="K56" s="55"/>
      <c r="L56" s="90"/>
      <c r="M56" s="55"/>
      <c r="N56" s="56"/>
      <c r="O56" s="55"/>
      <c r="P56" s="89" t="s">
        <v>149</v>
      </c>
      <c r="Q56" s="55"/>
      <c r="R56" s="55"/>
      <c r="S56" s="55"/>
      <c r="T56" s="55"/>
      <c r="U56" s="56"/>
      <c r="V56" s="19"/>
      <c r="W56" s="19"/>
      <c r="X56" s="46" t="s">
        <v>160</v>
      </c>
      <c r="Y56" s="19"/>
      <c r="Z56" s="19"/>
      <c r="AA56" s="19"/>
      <c r="AB56" s="19"/>
      <c r="AC56" s="19"/>
      <c r="AD56" s="5" t="s">
        <v>65</v>
      </c>
    </row>
    <row r="57" spans="1:38" ht="16.5">
      <c r="A57" s="50" t="s">
        <v>133</v>
      </c>
      <c r="B57" s="39">
        <f>Z58+$B$24*($M$2/60)*SIN(RADIANS($I$2))/COS(RADIANS(AA57))</f>
        <v>-123.37335702296606</v>
      </c>
      <c r="C57" s="20" t="s">
        <v>8</v>
      </c>
      <c r="D57" s="20"/>
      <c r="E57" s="20"/>
      <c r="F57" s="20"/>
      <c r="G57" s="20"/>
      <c r="H57" s="50" t="s">
        <v>133</v>
      </c>
      <c r="I57" s="72">
        <f>Z58+$I$24*($M$2/60)*SIN(RADIANS($I$2))/COS(RADIANS(AA57))</f>
        <v>-123.37335702296606</v>
      </c>
      <c r="J57" s="20" t="s">
        <v>8</v>
      </c>
      <c r="K57" s="20"/>
      <c r="L57" s="20"/>
      <c r="M57" s="20"/>
      <c r="N57" s="20"/>
      <c r="O57" s="50" t="s">
        <v>133</v>
      </c>
      <c r="P57" s="72">
        <f>Z58+$P$24*($M$2/60)*SIN(RADIANS($I$2))/COS(RADIANS(AA57))</f>
        <v>-123.37335702296606</v>
      </c>
      <c r="Q57" s="20" t="s">
        <v>8</v>
      </c>
      <c r="R57" s="20"/>
      <c r="S57" s="20"/>
      <c r="T57" s="20"/>
      <c r="U57" s="49"/>
      <c r="V57" s="24" t="s">
        <v>3</v>
      </c>
      <c r="W57" s="39">
        <f>IF($F$2=3,COS(C63)*COS(C63) +COS(J63)*COS(J63) +COS(Q63)*COS(Q63), COS(C63)*COS(C63) +COS(J63)*COS(J63))</f>
        <v>1.3180092193512296</v>
      </c>
      <c r="X57" s="19"/>
      <c r="Y57" s="42" t="s">
        <v>158</v>
      </c>
      <c r="Z57" s="39">
        <f>Z51</f>
        <v>48.140939220313392</v>
      </c>
      <c r="AA57" s="27">
        <f>RADIANS(Z57)</f>
        <v>0.8402178943969405</v>
      </c>
      <c r="AB57" s="28" t="s">
        <v>88</v>
      </c>
      <c r="AC57" s="19"/>
      <c r="AD57" s="5" t="s">
        <v>66</v>
      </c>
    </row>
    <row r="58" spans="1:38" ht="16.5">
      <c r="A58" s="51" t="s">
        <v>84</v>
      </c>
      <c r="B58" s="39">
        <f>MOD(360+$B$26+B57,360)</f>
        <v>43.894976310367269</v>
      </c>
      <c r="C58" s="27">
        <f>RADIANS(B58)</f>
        <v>0.76611186170082124</v>
      </c>
      <c r="D58" s="29" t="s">
        <v>88</v>
      </c>
      <c r="E58" s="20"/>
      <c r="F58" s="20"/>
      <c r="G58" s="20"/>
      <c r="H58" s="51" t="s">
        <v>84</v>
      </c>
      <c r="I58" s="72">
        <f>MOD(360+$I$26+I57,360)</f>
        <v>325.15664297703393</v>
      </c>
      <c r="J58" s="27">
        <f>RADIANS(I58)</f>
        <v>5.6750540046809386</v>
      </c>
      <c r="K58" s="29" t="s">
        <v>88</v>
      </c>
      <c r="L58" s="20"/>
      <c r="M58" s="20"/>
      <c r="N58" s="20"/>
      <c r="O58" s="51" t="s">
        <v>84</v>
      </c>
      <c r="P58" s="72">
        <f>MOD(360+$P$26+P57,360)</f>
        <v>338.81997631036728</v>
      </c>
      <c r="Q58" s="27">
        <f>RADIANS(P58)</f>
        <v>5.9135241581450977</v>
      </c>
      <c r="R58" s="29" t="s">
        <v>88</v>
      </c>
      <c r="S58" s="20"/>
      <c r="T58" s="20"/>
      <c r="U58" s="49"/>
      <c r="V58" s="24" t="s">
        <v>4</v>
      </c>
      <c r="W58" s="39">
        <f>IF($F$2=3,COS(C63)*SIN(C63)+COS(J63)*SIN(J63)+COS(Q63)*SIN(Q63),COS(C63)*SIN(C63)+COS(J63)*SIN(J63))</f>
        <v>-0.45001967106056084</v>
      </c>
      <c r="X58" s="19"/>
      <c r="Y58" s="42" t="s">
        <v>159</v>
      </c>
      <c r="Z58" s="39">
        <f>Z52</f>
        <v>-123.37335702296606</v>
      </c>
      <c r="AA58" s="19" t="s">
        <v>8</v>
      </c>
      <c r="AB58" s="19"/>
      <c r="AC58" s="19"/>
      <c r="AD58" s="5" t="s">
        <v>67</v>
      </c>
    </row>
    <row r="59" spans="1:38" ht="15.75">
      <c r="A59" s="50" t="s">
        <v>85</v>
      </c>
      <c r="B59" s="39">
        <f>Z57+$B$24*($M$2/60)*COS(RADIANS($I$2))</f>
        <v>48.140939220313392</v>
      </c>
      <c r="C59" s="27">
        <f>RADIANS(B59)</f>
        <v>0.8402178943969405</v>
      </c>
      <c r="D59" s="29" t="s">
        <v>88</v>
      </c>
      <c r="E59" s="20"/>
      <c r="F59" s="20"/>
      <c r="G59" s="20"/>
      <c r="H59" s="50" t="s">
        <v>85</v>
      </c>
      <c r="I59" s="72">
        <f>Z57+$I$24*($M$2/60)*COS(RADIANS($I$2))</f>
        <v>48.140939220313392</v>
      </c>
      <c r="J59" s="27">
        <f>RADIANS(I59)</f>
        <v>0.8402178943969405</v>
      </c>
      <c r="K59" s="29" t="s">
        <v>88</v>
      </c>
      <c r="L59" s="20"/>
      <c r="M59" s="20"/>
      <c r="N59" s="20"/>
      <c r="O59" s="50" t="s">
        <v>85</v>
      </c>
      <c r="P59" s="72">
        <f>Z57+$P$24*($M$2/60)*COS(RADIANS($I$2))</f>
        <v>48.140939220313392</v>
      </c>
      <c r="Q59" s="27">
        <f>RADIANS(P59)</f>
        <v>0.8402178943969405</v>
      </c>
      <c r="R59" s="29" t="s">
        <v>88</v>
      </c>
      <c r="S59" s="20"/>
      <c r="T59" s="20"/>
      <c r="U59" s="49"/>
      <c r="V59" s="24" t="s">
        <v>5</v>
      </c>
      <c r="W59" s="39">
        <f>IF($F$2=3,SIN(C63)*SIN(C63)+SIN(J63)*SIN(J63)+SIN(Q63)*SIN(Q63),SIN(C63)*SIN(C63)+SIN(J63)*SIN(J63))</f>
        <v>1.6819907806487706</v>
      </c>
      <c r="X59" s="19"/>
      <c r="AA59" s="28"/>
      <c r="AB59" s="28"/>
      <c r="AD59" s="5" t="s">
        <v>68</v>
      </c>
    </row>
    <row r="60" spans="1:38" ht="16.5">
      <c r="A60" s="51" t="s">
        <v>2</v>
      </c>
      <c r="B60" s="39">
        <f>DEGREES(ASIN((COS(C58)*COS(C59)*COS($C$27)+(SIN(C59)*SIN($C$27)))))</f>
        <v>43.627433815265562</v>
      </c>
      <c r="C60" s="27">
        <f>RADIANS(B60)</f>
        <v>0.76144236427229561</v>
      </c>
      <c r="D60" s="29" t="s">
        <v>88</v>
      </c>
      <c r="E60" s="20"/>
      <c r="F60" s="20"/>
      <c r="G60" s="20"/>
      <c r="H60" s="51" t="s">
        <v>2</v>
      </c>
      <c r="I60" s="72">
        <f>DEGREES(ASIN((COS(J58)*COS(J59)*COS($J$27)+(SIN(J59)*SIN($J$27)))))</f>
        <v>49.624749235173688</v>
      </c>
      <c r="J60" s="27">
        <f>RADIANS(I60)</f>
        <v>0.86611526463031874</v>
      </c>
      <c r="K60" s="29" t="s">
        <v>88</v>
      </c>
      <c r="L60" s="20"/>
      <c r="M60" s="20"/>
      <c r="N60" s="20"/>
      <c r="O60" s="51" t="s">
        <v>2</v>
      </c>
      <c r="P60" s="72">
        <f>DEGREES(ASIN((COS(Q58)*COS(Q59)*COS($Q$27)+(SIN(Q59)*SIN($Q$27)))))</f>
        <v>27.775464123453389</v>
      </c>
      <c r="Q60" s="27">
        <f>RADIANS(P60)</f>
        <v>0.48477330022382242</v>
      </c>
      <c r="R60" s="29" t="s">
        <v>88</v>
      </c>
      <c r="S60" s="20"/>
      <c r="T60" s="20"/>
      <c r="U60" s="49"/>
      <c r="V60" s="24" t="s">
        <v>6</v>
      </c>
      <c r="W60" s="39">
        <f>IF($F$2=3,(B61/60)*COS(C63)+(I61/60)*COS(J63)+(P61/60)*COS(Q63),(B61/60)*COS(C63)+(I61/60)*COS(J63))</f>
        <v>-1.1394097471084663E-14</v>
      </c>
      <c r="X60" s="19"/>
      <c r="Y60" s="42" t="s">
        <v>161</v>
      </c>
      <c r="Z60" s="39">
        <f>Z57+(W59*W60-W58*W61)/W62</f>
        <v>48.140939220313378</v>
      </c>
      <c r="AA60" s="27">
        <f>RADIANS(Z60)</f>
        <v>0.84021789439694028</v>
      </c>
      <c r="AB60" s="28" t="s">
        <v>88</v>
      </c>
      <c r="AC60" s="19"/>
      <c r="AD60" s="5" t="s">
        <v>69</v>
      </c>
      <c r="AG60" s="42" t="s">
        <v>150</v>
      </c>
      <c r="AH60" s="39">
        <f>ABS(TRUNC(Z60))</f>
        <v>48</v>
      </c>
      <c r="AI60" s="20" t="s">
        <v>8</v>
      </c>
      <c r="AJ60" s="40">
        <f>(ABS(Z60)-AH60)*60</f>
        <v>8.4563532188026613</v>
      </c>
      <c r="AK60" s="59" t="s">
        <v>115</v>
      </c>
      <c r="AL60" s="41" t="str">
        <f>IF(Z60&lt;0,"S","N")</f>
        <v>N</v>
      </c>
    </row>
    <row r="61" spans="1:38" ht="16.5">
      <c r="A61" s="50" t="s">
        <v>92</v>
      </c>
      <c r="B61" s="39">
        <f>($B$25-B60)*60</f>
        <v>-4.6028915933788994E-2</v>
      </c>
      <c r="C61" s="20" t="s">
        <v>9</v>
      </c>
      <c r="D61" s="20"/>
      <c r="E61" s="20"/>
      <c r="F61" s="20"/>
      <c r="G61" s="20"/>
      <c r="H61" s="51" t="s">
        <v>111</v>
      </c>
      <c r="I61" s="72">
        <f>($I$25-I60)*60</f>
        <v>-8.4954110421193718E-2</v>
      </c>
      <c r="J61" s="20" t="s">
        <v>9</v>
      </c>
      <c r="K61" s="20"/>
      <c r="L61" s="20"/>
      <c r="M61" s="20"/>
      <c r="N61" s="20"/>
      <c r="O61" s="50" t="s">
        <v>92</v>
      </c>
      <c r="P61" s="72">
        <f>($P$25-P60)*60</f>
        <v>7.2152592796683734E-2</v>
      </c>
      <c r="Q61" s="20" t="s">
        <v>9</v>
      </c>
      <c r="R61" s="20"/>
      <c r="S61" s="20"/>
      <c r="T61" s="19"/>
      <c r="U61" s="49"/>
      <c r="V61" s="24" t="s">
        <v>7</v>
      </c>
      <c r="W61" s="39">
        <f>IF($F$2=3,(B61/60)*SIN(C63)+(I61/60)*SIN(J63)+(P61/60)*SIN(Q63),(B61/60)*SIN(C63)+(I61/60)*SIN(J63))</f>
        <v>-2.0678716985272905E-14</v>
      </c>
      <c r="X61" s="19"/>
      <c r="Y61" s="42" t="s">
        <v>162</v>
      </c>
      <c r="Z61" s="39">
        <f>Z58+(W57*W61-W58*W60)/(W62*COS(AA57))</f>
        <v>-123.37335702296609</v>
      </c>
      <c r="AA61" s="27">
        <f>RADIANS(Z61)</f>
        <v>-2.1532712892892278</v>
      </c>
      <c r="AB61" s="28" t="s">
        <v>88</v>
      </c>
      <c r="AC61" s="19"/>
      <c r="AD61" s="5" t="s">
        <v>70</v>
      </c>
      <c r="AG61" s="36"/>
      <c r="AH61" s="19"/>
      <c r="AI61" s="19"/>
      <c r="AJ61" s="38"/>
      <c r="AK61" s="19"/>
      <c r="AL61" s="19"/>
    </row>
    <row r="62" spans="1:38" ht="15.75">
      <c r="A62" s="51" t="s">
        <v>77</v>
      </c>
      <c r="B62" s="39">
        <f>DEGREES(ACOS((SIN($C$27)-(SIN(C59)*SIN(C60)))/(COS(C59)*COS(C60))))</f>
        <v>114.54265427610999</v>
      </c>
      <c r="C62" s="27">
        <f>RADIANS(B62)</f>
        <v>1.9991464510916814</v>
      </c>
      <c r="D62" s="29" t="s">
        <v>88</v>
      </c>
      <c r="E62" s="20"/>
      <c r="F62" s="20"/>
      <c r="G62" s="20"/>
      <c r="H62" s="51" t="s">
        <v>77</v>
      </c>
      <c r="I62" s="72">
        <f>DEGREES(ACOS((SIN($J$27)-(SIN(J59)*SIN(J60)))/(COS(J59)*COS(J60))))</f>
        <v>123.5822617606661</v>
      </c>
      <c r="J62" s="27">
        <f>RADIANS(I62)</f>
        <v>2.1569173647851079</v>
      </c>
      <c r="K62" s="29" t="s">
        <v>88</v>
      </c>
      <c r="L62" s="20"/>
      <c r="M62" s="20"/>
      <c r="N62" s="20"/>
      <c r="O62" s="51" t="s">
        <v>77</v>
      </c>
      <c r="P62" s="72">
        <f>DEGREES(ACOS((SIN($Q$27)-(SIN(Q59)*SIN(Q60)))/(COS(Q59)*COS(Q60))))</f>
        <v>156.38431019437161</v>
      </c>
      <c r="Q62" s="27">
        <f>RADIANS(P62)</f>
        <v>2.7294211113519182</v>
      </c>
      <c r="R62" s="29" t="s">
        <v>88</v>
      </c>
      <c r="S62" s="20"/>
      <c r="T62" s="20"/>
      <c r="U62" s="49"/>
      <c r="V62" s="24" t="s">
        <v>89</v>
      </c>
      <c r="W62" s="39">
        <f>W57*W59-W58*W58</f>
        <v>2.0143616514173961</v>
      </c>
      <c r="X62" s="19"/>
      <c r="Y62" s="42" t="s">
        <v>91</v>
      </c>
      <c r="Z62" s="39">
        <f>60*SQRT(((Z61-Z58)*(Z61-Z58)*COS(AA57)*COS(AA57)+(Z60-Z57)*(Z60-Z57)))</f>
        <v>1.4219503985148629E-12</v>
      </c>
      <c r="AA62" s="59" t="s">
        <v>142</v>
      </c>
      <c r="AB62" s="19"/>
      <c r="AC62" s="19"/>
      <c r="AD62" s="5" t="s">
        <v>71</v>
      </c>
      <c r="AG62" s="42" t="s">
        <v>151</v>
      </c>
      <c r="AH62" s="39">
        <f>ABS(TRUNC(Z61))</f>
        <v>123</v>
      </c>
      <c r="AI62" s="20" t="s">
        <v>8</v>
      </c>
      <c r="AJ62" s="40">
        <f>(ABS(Z61)-AH62)*60</f>
        <v>22.401421377965391</v>
      </c>
      <c r="AK62" s="59" t="s">
        <v>115</v>
      </c>
      <c r="AL62" s="41" t="str">
        <f>IF(Z61&lt;0,"W","E")</f>
        <v>W</v>
      </c>
    </row>
    <row r="63" spans="1:38" ht="15.75">
      <c r="A63" s="51" t="s">
        <v>87</v>
      </c>
      <c r="B63" s="57">
        <f>IF($M$4 = "N", IF(B58 &lt; 180, 360 -B62, B62), IF(B58 &lt; 180, 180 +B62, 180 -B62))</f>
        <v>245.45734572389</v>
      </c>
      <c r="C63" s="27">
        <f>RADIANS(B63)</f>
        <v>4.2840388560879044</v>
      </c>
      <c r="D63" s="29" t="s">
        <v>88</v>
      </c>
      <c r="E63" s="20"/>
      <c r="F63" s="20"/>
      <c r="G63" s="20"/>
      <c r="H63" s="51" t="s">
        <v>87</v>
      </c>
      <c r="I63" s="73">
        <f>IF($M$4 = "N", IF(I58 &lt; 180, 360 -I62, I62), IF(I58 &lt; 180, 180 +I62, 180 -I62))</f>
        <v>123.5822617606661</v>
      </c>
      <c r="J63" s="27">
        <f>RADIANS(I63)</f>
        <v>2.1569173647851079</v>
      </c>
      <c r="K63" s="29" t="s">
        <v>88</v>
      </c>
      <c r="L63" s="20"/>
      <c r="M63" s="20"/>
      <c r="N63" s="20"/>
      <c r="O63" s="51" t="s">
        <v>87</v>
      </c>
      <c r="P63" s="73">
        <f>IF($M$4 = "N", IF(P58 &lt; 180, 360 -P62, P62), IF(P58 &lt; 180, 180 +P62, 180 -P62))</f>
        <v>156.38431019437161</v>
      </c>
      <c r="Q63" s="27">
        <f>RADIANS(P63)</f>
        <v>2.7294211113519182</v>
      </c>
      <c r="R63" s="29" t="s">
        <v>88</v>
      </c>
      <c r="S63" s="20"/>
      <c r="T63" s="20"/>
      <c r="U63" s="20"/>
      <c r="V63" s="30"/>
      <c r="W63" s="19"/>
      <c r="X63" s="19"/>
      <c r="Y63" s="19"/>
      <c r="Z63" s="19"/>
      <c r="AA63" s="19"/>
      <c r="AB63" s="19"/>
      <c r="AC63" s="19"/>
      <c r="AD63" s="5" t="s">
        <v>72</v>
      </c>
    </row>
    <row r="64" spans="1:38" ht="15.75">
      <c r="A64" s="20"/>
      <c r="B64" s="20"/>
      <c r="C64" s="20"/>
      <c r="D64" s="20"/>
      <c r="E64" s="20"/>
      <c r="F64" s="20"/>
      <c r="G64" s="20"/>
      <c r="H64" s="30"/>
      <c r="I64" s="20"/>
      <c r="J64" s="20"/>
      <c r="K64" s="20"/>
      <c r="L64" s="20"/>
      <c r="M64" s="20"/>
      <c r="N64" s="49"/>
      <c r="O64" s="20"/>
      <c r="P64" s="20"/>
      <c r="Q64" s="20"/>
      <c r="R64" s="20"/>
      <c r="S64" s="20"/>
      <c r="T64" s="20"/>
      <c r="U64" s="49"/>
      <c r="V64" s="30"/>
      <c r="W64" s="20"/>
      <c r="X64" s="20"/>
      <c r="Y64" s="42" t="s">
        <v>141</v>
      </c>
      <c r="Z64" s="117">
        <f>60*SQRT(((Z61-Z25)*(Z61-Z25)*COS(AA24)*COS(AA24)+(Z60-Z24)*(Z60-Z24)))</f>
        <v>2.4016961243130805</v>
      </c>
      <c r="AA64" s="59" t="s">
        <v>142</v>
      </c>
      <c r="AB64" s="20"/>
      <c r="AC64" s="20"/>
      <c r="AD64" s="5" t="s">
        <v>64</v>
      </c>
    </row>
    <row r="65" spans="1:39" ht="15.75">
      <c r="A65" s="21"/>
      <c r="B65" s="64"/>
      <c r="C65" s="21"/>
      <c r="D65" s="21"/>
      <c r="E65" s="21"/>
      <c r="F65" s="21"/>
      <c r="G65" s="21"/>
      <c r="H65" s="21"/>
      <c r="I65" s="104"/>
      <c r="J65" s="21"/>
      <c r="K65" s="21"/>
      <c r="L65" s="105"/>
      <c r="M65" s="21"/>
      <c r="N65" s="21"/>
      <c r="O65" s="21"/>
      <c r="P65" s="106"/>
      <c r="Q65" s="107"/>
      <c r="R65" s="107"/>
      <c r="S65" s="107"/>
      <c r="T65" s="107"/>
      <c r="U65" s="107"/>
      <c r="V65" s="107"/>
      <c r="W65" s="107"/>
      <c r="X65" s="108"/>
      <c r="Y65" s="107"/>
      <c r="Z65" s="107"/>
      <c r="AA65" s="107"/>
      <c r="AB65" s="107"/>
      <c r="AC65" s="107"/>
      <c r="AD65" s="5" t="s">
        <v>65</v>
      </c>
      <c r="AF65" s="2"/>
      <c r="AG65" s="2"/>
      <c r="AH65" s="2"/>
      <c r="AI65" s="2"/>
      <c r="AJ65" s="2"/>
      <c r="AK65" s="2"/>
      <c r="AL65" s="2"/>
      <c r="AM65" s="2"/>
    </row>
    <row r="66" spans="1:39" ht="15.75">
      <c r="A66" s="109"/>
      <c r="B66" s="2"/>
      <c r="C66" s="2"/>
      <c r="D66" s="2"/>
      <c r="E66" s="2"/>
      <c r="F66" s="2"/>
      <c r="G66" s="2"/>
      <c r="H66" s="109"/>
      <c r="I66" s="110"/>
      <c r="J66" s="2"/>
      <c r="K66" s="2"/>
      <c r="L66" s="2"/>
      <c r="M66" s="2"/>
      <c r="N66" s="2"/>
      <c r="O66" s="109"/>
      <c r="P66" s="110"/>
      <c r="Q66" s="2"/>
      <c r="R66" s="2"/>
      <c r="S66" s="2"/>
      <c r="T66" s="2"/>
      <c r="U66" s="2"/>
      <c r="V66" s="111"/>
      <c r="W66" s="2"/>
      <c r="X66" s="2"/>
      <c r="Y66" s="109" t="s">
        <v>164</v>
      </c>
      <c r="Z66" s="118">
        <f>IF(ABS(Z61-Z25)&gt;180,360-ABS(Z61-Z25),ABS(Z61-Z25))</f>
        <v>5.9976310367247265E-2</v>
      </c>
      <c r="AA66" s="19" t="s">
        <v>8</v>
      </c>
      <c r="AB66" s="112"/>
      <c r="AC66" s="2"/>
      <c r="AD66" s="5" t="s">
        <v>66</v>
      </c>
      <c r="AF66" s="2"/>
      <c r="AG66" s="109"/>
      <c r="AH66" s="2"/>
      <c r="AI66" s="2"/>
      <c r="AJ66" s="33"/>
      <c r="AK66" s="113"/>
      <c r="AL66" s="70"/>
      <c r="AM66" s="2"/>
    </row>
    <row r="67" spans="1:39" ht="15.75">
      <c r="A67" s="111"/>
      <c r="B67" s="2"/>
      <c r="C67" s="112"/>
      <c r="D67" s="112"/>
      <c r="E67" s="2"/>
      <c r="F67" s="2"/>
      <c r="G67" s="2"/>
      <c r="H67" s="111"/>
      <c r="I67" s="110"/>
      <c r="J67" s="112"/>
      <c r="K67" s="112"/>
      <c r="L67" s="2"/>
      <c r="M67" s="2"/>
      <c r="N67" s="2"/>
      <c r="O67" s="111"/>
      <c r="P67" s="110"/>
      <c r="Q67" s="112"/>
      <c r="R67" s="112"/>
      <c r="S67" s="2"/>
      <c r="T67" s="2"/>
      <c r="U67" s="2"/>
      <c r="V67" s="111"/>
      <c r="W67" s="2"/>
      <c r="X67" s="2"/>
      <c r="Y67" s="109" t="s">
        <v>165</v>
      </c>
      <c r="Z67" s="57">
        <f>IF(Z61&lt;Z25,-Z66,Z66)</f>
        <v>5.9976310367247265E-2</v>
      </c>
      <c r="AA67" s="27">
        <f>RADIANS(Z67)</f>
        <v>1.0467840891064742E-3</v>
      </c>
      <c r="AB67" s="28" t="s">
        <v>88</v>
      </c>
      <c r="AC67" s="2"/>
      <c r="AD67" s="5" t="s">
        <v>67</v>
      </c>
      <c r="AF67" s="2"/>
      <c r="AG67" s="113"/>
      <c r="AH67" s="2"/>
      <c r="AI67" s="2"/>
      <c r="AJ67" s="33"/>
      <c r="AK67" s="2"/>
      <c r="AL67" s="2"/>
      <c r="AM67" s="2"/>
    </row>
    <row r="68" spans="1:39" ht="15.75">
      <c r="A68" s="109"/>
      <c r="B68" s="2"/>
      <c r="C68" s="112"/>
      <c r="D68" s="112"/>
      <c r="E68" s="2"/>
      <c r="F68" s="2"/>
      <c r="G68" s="2"/>
      <c r="H68" s="109"/>
      <c r="I68" s="110"/>
      <c r="J68" s="112"/>
      <c r="K68" s="112"/>
      <c r="L68" s="2"/>
      <c r="M68" s="2"/>
      <c r="N68" s="2"/>
      <c r="O68" s="109"/>
      <c r="P68" s="110"/>
      <c r="Q68" s="112"/>
      <c r="R68" s="112"/>
      <c r="S68" s="2"/>
      <c r="T68" s="2"/>
      <c r="U68" s="2"/>
      <c r="V68" s="111"/>
      <c r="W68" s="2"/>
      <c r="X68" s="2"/>
      <c r="Y68" s="119" t="s">
        <v>166</v>
      </c>
      <c r="Z68" s="120">
        <f>LN(TAN(AA60/2 +PI()/4)/TAN(AA24/2 + PI()/4))</f>
        <v>-1.9026544834443614E-5</v>
      </c>
      <c r="AA68" s="112"/>
      <c r="AB68" s="112"/>
      <c r="AC68" s="2"/>
      <c r="AD68" s="5" t="s">
        <v>68</v>
      </c>
      <c r="AF68" s="2"/>
      <c r="AG68" s="109"/>
      <c r="AH68" s="2"/>
      <c r="AI68" s="2"/>
      <c r="AJ68" s="33"/>
      <c r="AK68" s="113"/>
      <c r="AL68" s="70"/>
      <c r="AM68" s="2"/>
    </row>
    <row r="69" spans="1:39" ht="15.75">
      <c r="A69" s="111"/>
      <c r="B69" s="2"/>
      <c r="C69" s="112"/>
      <c r="D69" s="112"/>
      <c r="E69" s="2"/>
      <c r="F69" s="2"/>
      <c r="G69" s="2"/>
      <c r="H69" s="111"/>
      <c r="I69" s="110"/>
      <c r="J69" s="112"/>
      <c r="K69" s="112"/>
      <c r="L69" s="2"/>
      <c r="M69" s="2"/>
      <c r="N69" s="2"/>
      <c r="O69" s="111"/>
      <c r="P69" s="110"/>
      <c r="Q69" s="112"/>
      <c r="R69" s="112"/>
      <c r="S69" s="2"/>
      <c r="T69" s="2"/>
      <c r="U69" s="2"/>
      <c r="V69" s="111"/>
      <c r="W69" s="2"/>
      <c r="X69" s="2"/>
      <c r="Y69" s="119" t="s">
        <v>167</v>
      </c>
      <c r="Z69" s="121">
        <f>MOD(DEGREES(ATAN2(Z68,AA67))+360,360)</f>
        <v>91.041304220751272</v>
      </c>
      <c r="AA69" s="19" t="s">
        <v>8</v>
      </c>
      <c r="AB69" s="2"/>
      <c r="AC69" s="2"/>
      <c r="AD69" s="5" t="s">
        <v>69</v>
      </c>
      <c r="AF69" s="2"/>
      <c r="AG69" s="2"/>
      <c r="AH69" s="2"/>
      <c r="AI69" s="2"/>
      <c r="AJ69" s="2"/>
      <c r="AK69" s="2"/>
      <c r="AL69" s="2"/>
      <c r="AM69" s="2"/>
    </row>
    <row r="70" spans="1:39" ht="15.75">
      <c r="A70" s="109"/>
      <c r="B70" s="2"/>
      <c r="C70" s="2"/>
      <c r="D70" s="2"/>
      <c r="E70" s="2"/>
      <c r="F70" s="2"/>
      <c r="G70" s="2"/>
      <c r="H70" s="111"/>
      <c r="I70" s="110"/>
      <c r="J70" s="2"/>
      <c r="K70" s="2"/>
      <c r="L70" s="2"/>
      <c r="M70" s="2"/>
      <c r="N70" s="2"/>
      <c r="O70" s="109"/>
      <c r="P70" s="110"/>
      <c r="Q70" s="2"/>
      <c r="R70" s="2"/>
      <c r="S70" s="2"/>
      <c r="T70" s="2"/>
      <c r="U70" s="2"/>
      <c r="V70" s="111"/>
      <c r="W70" s="2"/>
      <c r="X70" s="2"/>
      <c r="Y70" s="109"/>
      <c r="Z70" s="2"/>
      <c r="AA70" s="2"/>
      <c r="AB70" s="2"/>
      <c r="AC70" s="2"/>
      <c r="AD70" s="5" t="s">
        <v>70</v>
      </c>
      <c r="AF70" s="2"/>
      <c r="AG70" s="2"/>
      <c r="AH70" s="2"/>
      <c r="AI70" s="2"/>
      <c r="AJ70" s="2"/>
      <c r="AK70" s="2"/>
      <c r="AL70" s="2"/>
      <c r="AM70" s="2"/>
    </row>
    <row r="71" spans="1:39" ht="15.75">
      <c r="A71" s="111"/>
      <c r="B71" s="2"/>
      <c r="C71" s="112"/>
      <c r="D71" s="112"/>
      <c r="E71" s="2"/>
      <c r="F71" s="2"/>
      <c r="G71" s="2"/>
      <c r="H71" s="111"/>
      <c r="I71" s="110"/>
      <c r="J71" s="112"/>
      <c r="K71" s="112"/>
      <c r="L71" s="2"/>
      <c r="M71" s="2"/>
      <c r="N71" s="2"/>
      <c r="O71" s="111"/>
      <c r="P71" s="110"/>
      <c r="Q71" s="112"/>
      <c r="R71" s="112"/>
      <c r="S71" s="2"/>
      <c r="T71" s="2"/>
      <c r="U71" s="2"/>
      <c r="V71" s="111"/>
      <c r="W71" s="2"/>
      <c r="X71" s="2"/>
      <c r="Y71" s="109"/>
      <c r="Z71" s="2"/>
      <c r="AA71" s="2"/>
      <c r="AB71" s="2"/>
      <c r="AC71" s="2"/>
      <c r="AD71" s="5" t="s">
        <v>71</v>
      </c>
      <c r="AF71" s="2"/>
      <c r="AG71" s="2"/>
      <c r="AH71" s="2"/>
      <c r="AI71" s="2"/>
      <c r="AJ71" s="2"/>
      <c r="AK71" s="2"/>
      <c r="AL71" s="2"/>
      <c r="AM71" s="2"/>
    </row>
    <row r="72" spans="1:39" ht="16.5" thickBot="1">
      <c r="A72" s="111"/>
      <c r="B72" s="113"/>
      <c r="C72" s="112"/>
      <c r="D72" s="112"/>
      <c r="E72" s="2"/>
      <c r="F72" s="2"/>
      <c r="G72" s="2"/>
      <c r="H72" s="111"/>
      <c r="I72" s="114"/>
      <c r="J72" s="112"/>
      <c r="K72" s="112"/>
      <c r="L72" s="2"/>
      <c r="M72" s="2"/>
      <c r="N72" s="2"/>
      <c r="O72" s="111"/>
      <c r="P72" s="114"/>
      <c r="Q72" s="112"/>
      <c r="R72" s="11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5" t="s">
        <v>72</v>
      </c>
      <c r="AF72" s="2"/>
      <c r="AG72" s="2"/>
      <c r="AH72" s="2"/>
      <c r="AI72" s="2"/>
      <c r="AJ72" s="2"/>
      <c r="AK72" s="2"/>
      <c r="AL72" s="2"/>
      <c r="AM72" s="2"/>
    </row>
    <row r="73" spans="1:39" ht="16.5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3" t="s">
        <v>10</v>
      </c>
      <c r="AF73" s="2"/>
      <c r="AG73" s="2"/>
      <c r="AH73" s="2"/>
      <c r="AI73" s="2"/>
      <c r="AJ73" s="2"/>
      <c r="AK73" s="2"/>
      <c r="AL73" s="2"/>
      <c r="AM73" s="2"/>
    </row>
    <row r="74" spans="1:39">
      <c r="A74" s="2"/>
      <c r="B74" s="115"/>
      <c r="C74" s="2"/>
      <c r="D74" s="2"/>
      <c r="E74" s="2"/>
      <c r="F74" s="2"/>
      <c r="G74" s="2"/>
      <c r="H74" s="2"/>
      <c r="I74" s="116"/>
      <c r="J74" s="2"/>
      <c r="K74" s="2"/>
      <c r="L74" s="112"/>
      <c r="M74" s="2"/>
      <c r="N74" s="2"/>
      <c r="O74" s="2"/>
      <c r="P74" s="116"/>
      <c r="Q74" s="2"/>
      <c r="R74" s="2"/>
      <c r="S74" s="2"/>
      <c r="T74" s="2"/>
      <c r="U74" s="2"/>
      <c r="V74" s="2"/>
      <c r="W74" s="2"/>
      <c r="X74" s="115"/>
      <c r="Y74" s="2"/>
      <c r="Z74" s="2"/>
      <c r="AA74" s="2"/>
      <c r="AB74" s="2"/>
      <c r="AC74" s="2"/>
      <c r="AF74" s="2"/>
      <c r="AG74" s="2"/>
      <c r="AH74" s="2"/>
      <c r="AI74" s="2"/>
      <c r="AJ74" s="2"/>
      <c r="AK74" s="2"/>
      <c r="AL74" s="2"/>
      <c r="AM74" s="2"/>
    </row>
    <row r="75" spans="1:39">
      <c r="A75" s="109"/>
      <c r="B75" s="2"/>
      <c r="C75" s="2"/>
      <c r="D75" s="2"/>
      <c r="E75" s="2"/>
      <c r="F75" s="2"/>
      <c r="G75" s="2"/>
      <c r="H75" s="109"/>
      <c r="I75" s="110"/>
      <c r="J75" s="2"/>
      <c r="K75" s="2"/>
      <c r="L75" s="2"/>
      <c r="M75" s="2"/>
      <c r="N75" s="2"/>
      <c r="O75" s="109"/>
      <c r="P75" s="110"/>
      <c r="Q75" s="2"/>
      <c r="R75" s="2"/>
      <c r="S75" s="2"/>
      <c r="T75" s="2"/>
      <c r="U75" s="2"/>
      <c r="V75" s="111"/>
      <c r="W75" s="2"/>
      <c r="X75" s="2"/>
      <c r="Y75" s="109"/>
      <c r="Z75" s="2"/>
      <c r="AA75" s="112"/>
      <c r="AB75" s="112"/>
      <c r="AC75" s="2"/>
      <c r="AF75" s="2"/>
      <c r="AG75" s="2"/>
      <c r="AH75" s="2"/>
      <c r="AI75" s="2"/>
      <c r="AJ75" s="2"/>
      <c r="AK75" s="2"/>
      <c r="AL75" s="2"/>
      <c r="AM75" s="2"/>
    </row>
    <row r="76" spans="1:39">
      <c r="A76" s="111"/>
      <c r="B76" s="2"/>
      <c r="C76" s="112"/>
      <c r="D76" s="112"/>
      <c r="E76" s="2"/>
      <c r="F76" s="2"/>
      <c r="G76" s="2"/>
      <c r="H76" s="111"/>
      <c r="I76" s="110"/>
      <c r="J76" s="112"/>
      <c r="K76" s="112"/>
      <c r="L76" s="2"/>
      <c r="M76" s="2"/>
      <c r="N76" s="2"/>
      <c r="O76" s="111"/>
      <c r="P76" s="110"/>
      <c r="Q76" s="112"/>
      <c r="R76" s="112"/>
      <c r="S76" s="2"/>
      <c r="T76" s="2"/>
      <c r="U76" s="2"/>
      <c r="V76" s="111"/>
      <c r="W76" s="2"/>
      <c r="X76" s="2"/>
      <c r="Y76" s="109"/>
      <c r="Z76" s="2"/>
      <c r="AA76" s="2"/>
      <c r="AB76" s="2"/>
      <c r="AC76" s="2"/>
      <c r="AF76" s="2"/>
      <c r="AG76" s="2"/>
      <c r="AH76" s="2"/>
      <c r="AI76" s="2"/>
      <c r="AJ76" s="2"/>
      <c r="AK76" s="2"/>
      <c r="AL76" s="2"/>
      <c r="AM76" s="2"/>
    </row>
    <row r="77" spans="1:39">
      <c r="A77" s="109"/>
      <c r="B77" s="2"/>
      <c r="C77" s="112"/>
      <c r="D77" s="112"/>
      <c r="E77" s="2"/>
      <c r="F77" s="2"/>
      <c r="G77" s="2"/>
      <c r="H77" s="109"/>
      <c r="I77" s="110"/>
      <c r="J77" s="112"/>
      <c r="K77" s="112"/>
      <c r="L77" s="2"/>
      <c r="M77" s="2"/>
      <c r="N77" s="2"/>
      <c r="O77" s="109"/>
      <c r="P77" s="110"/>
      <c r="Q77" s="112"/>
      <c r="R77" s="112"/>
      <c r="S77" s="2"/>
      <c r="T77" s="2"/>
      <c r="U77" s="2"/>
      <c r="V77" s="111"/>
      <c r="W77" s="2"/>
      <c r="X77" s="2"/>
      <c r="Y77" s="2"/>
      <c r="Z77" s="2"/>
      <c r="AA77" s="112"/>
      <c r="AB77" s="112"/>
      <c r="AC77" s="2"/>
      <c r="AF77" s="2"/>
      <c r="AG77" s="2"/>
      <c r="AH77" s="2"/>
      <c r="AI77" s="2"/>
      <c r="AJ77" s="2"/>
      <c r="AK77" s="2"/>
      <c r="AL77" s="2"/>
      <c r="AM77" s="2"/>
    </row>
    <row r="78" spans="1:39">
      <c r="A78" s="111"/>
      <c r="B78" s="2"/>
      <c r="C78" s="112"/>
      <c r="D78" s="112"/>
      <c r="E78" s="2"/>
      <c r="F78" s="2"/>
      <c r="G78" s="2"/>
      <c r="H78" s="111"/>
      <c r="I78" s="110"/>
      <c r="J78" s="112"/>
      <c r="K78" s="112"/>
      <c r="L78" s="2"/>
      <c r="M78" s="2"/>
      <c r="N78" s="2"/>
      <c r="O78" s="111"/>
      <c r="P78" s="110"/>
      <c r="Q78" s="112"/>
      <c r="R78" s="112"/>
      <c r="S78" s="2"/>
      <c r="T78" s="2"/>
      <c r="U78" s="2"/>
      <c r="V78" s="111"/>
      <c r="W78" s="2"/>
      <c r="X78" s="2"/>
      <c r="Y78" s="109"/>
      <c r="Z78" s="2"/>
      <c r="AA78" s="2"/>
      <c r="AB78" s="2"/>
      <c r="AC78" s="2"/>
      <c r="AF78" s="2"/>
      <c r="AG78" s="109"/>
      <c r="AH78" s="2"/>
      <c r="AI78" s="2"/>
      <c r="AJ78" s="33"/>
      <c r="AK78" s="113"/>
      <c r="AL78" s="70"/>
      <c r="AM78" s="2"/>
    </row>
    <row r="79" spans="1:39">
      <c r="A79" s="109"/>
      <c r="B79" s="2"/>
      <c r="C79" s="2"/>
      <c r="D79" s="2"/>
      <c r="E79" s="2"/>
      <c r="F79" s="2"/>
      <c r="G79" s="2"/>
      <c r="H79" s="111"/>
      <c r="I79" s="110"/>
      <c r="J79" s="2"/>
      <c r="K79" s="2"/>
      <c r="L79" s="2"/>
      <c r="M79" s="2"/>
      <c r="N79" s="2"/>
      <c r="O79" s="109"/>
      <c r="P79" s="110"/>
      <c r="Q79" s="2"/>
      <c r="R79" s="2"/>
      <c r="S79" s="2"/>
      <c r="T79" s="2"/>
      <c r="U79" s="2"/>
      <c r="V79" s="111"/>
      <c r="W79" s="2"/>
      <c r="X79" s="2"/>
      <c r="Y79" s="109"/>
      <c r="Z79" s="2"/>
      <c r="AA79" s="2"/>
      <c r="AB79" s="2"/>
      <c r="AC79" s="2"/>
      <c r="AF79" s="2"/>
      <c r="AG79" s="113"/>
      <c r="AH79" s="2"/>
      <c r="AI79" s="2"/>
      <c r="AJ79" s="33"/>
      <c r="AK79" s="2"/>
      <c r="AL79" s="2"/>
      <c r="AM79" s="2"/>
    </row>
    <row r="80" spans="1:39">
      <c r="A80" s="111"/>
      <c r="B80" s="2"/>
      <c r="C80" s="112"/>
      <c r="D80" s="112"/>
      <c r="E80" s="2"/>
      <c r="F80" s="2"/>
      <c r="G80" s="2"/>
      <c r="H80" s="111"/>
      <c r="I80" s="110"/>
      <c r="J80" s="112"/>
      <c r="K80" s="112"/>
      <c r="L80" s="2"/>
      <c r="M80" s="2"/>
      <c r="N80" s="2"/>
      <c r="O80" s="111"/>
      <c r="P80" s="110"/>
      <c r="Q80" s="112"/>
      <c r="R80" s="112"/>
      <c r="S80" s="2"/>
      <c r="T80" s="2"/>
      <c r="U80" s="2"/>
      <c r="V80" s="111"/>
      <c r="W80" s="2"/>
      <c r="X80" s="2"/>
      <c r="Y80" s="109"/>
      <c r="Z80" s="2"/>
      <c r="AA80" s="2"/>
      <c r="AB80" s="2"/>
      <c r="AC80" s="2"/>
      <c r="AF80" s="2"/>
      <c r="AG80" s="109"/>
      <c r="AH80" s="2"/>
      <c r="AI80" s="2"/>
      <c r="AJ80" s="33"/>
      <c r="AK80" s="113"/>
      <c r="AL80" s="70"/>
      <c r="AM80" s="2"/>
    </row>
    <row r="81" spans="1:39">
      <c r="A81" s="111"/>
      <c r="B81" s="113"/>
      <c r="C81" s="112"/>
      <c r="D81" s="112"/>
      <c r="E81" s="2"/>
      <c r="F81" s="2"/>
      <c r="G81" s="2"/>
      <c r="H81" s="111"/>
      <c r="I81" s="114"/>
      <c r="J81" s="112"/>
      <c r="K81" s="112"/>
      <c r="L81" s="2"/>
      <c r="M81" s="2"/>
      <c r="N81" s="2"/>
      <c r="O81" s="111"/>
      <c r="P81" s="114"/>
      <c r="Q81" s="112"/>
      <c r="R81" s="11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F81" s="2"/>
      <c r="AG81" s="2"/>
      <c r="AH81" s="2"/>
      <c r="AI81" s="2"/>
      <c r="AJ81" s="2"/>
      <c r="AK81" s="2"/>
      <c r="AL81" s="2"/>
      <c r="AM81" s="2"/>
    </row>
    <row r="82" spans="1:3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F82" s="2"/>
      <c r="AG82" s="2"/>
      <c r="AH82" s="2"/>
      <c r="AI82" s="2"/>
      <c r="AJ82" s="2"/>
      <c r="AK82" s="2"/>
      <c r="AL82" s="2"/>
      <c r="AM82" s="2"/>
    </row>
    <row r="83" spans="1:39">
      <c r="A83" s="2"/>
      <c r="B83" s="115"/>
      <c r="C83" s="2"/>
      <c r="D83" s="2"/>
      <c r="E83" s="2"/>
      <c r="F83" s="2"/>
      <c r="G83" s="2"/>
      <c r="H83" s="2"/>
      <c r="I83" s="116"/>
      <c r="J83" s="2"/>
      <c r="K83" s="2"/>
      <c r="L83" s="112"/>
      <c r="M83" s="2"/>
      <c r="N83" s="2"/>
      <c r="O83" s="2"/>
      <c r="P83" s="116"/>
      <c r="Q83" s="2"/>
      <c r="R83" s="2"/>
      <c r="S83" s="2"/>
      <c r="T83" s="2"/>
      <c r="U83" s="2"/>
      <c r="V83" s="2"/>
      <c r="W83" s="2"/>
      <c r="X83" s="115"/>
      <c r="Y83" s="2"/>
      <c r="Z83" s="2"/>
      <c r="AA83" s="2"/>
      <c r="AB83" s="2"/>
      <c r="AC83" s="2"/>
      <c r="AF83" s="2"/>
      <c r="AG83" s="2"/>
      <c r="AH83" s="2"/>
      <c r="AI83" s="2"/>
      <c r="AJ83" s="2"/>
      <c r="AK83" s="2"/>
      <c r="AL83" s="2"/>
      <c r="AM83" s="2"/>
    </row>
    <row r="84" spans="1:39">
      <c r="A84" s="109"/>
      <c r="B84" s="2"/>
      <c r="C84" s="2"/>
      <c r="D84" s="2"/>
      <c r="E84" s="2"/>
      <c r="F84" s="2"/>
      <c r="G84" s="2"/>
      <c r="H84" s="109"/>
      <c r="I84" s="110"/>
      <c r="J84" s="2"/>
      <c r="K84" s="2"/>
      <c r="L84" s="2"/>
      <c r="M84" s="2"/>
      <c r="N84" s="2"/>
      <c r="O84" s="109"/>
      <c r="P84" s="110"/>
      <c r="Q84" s="2"/>
      <c r="R84" s="2"/>
      <c r="S84" s="2"/>
      <c r="T84" s="2"/>
      <c r="U84" s="2"/>
      <c r="V84" s="111"/>
      <c r="W84" s="2"/>
      <c r="X84" s="2"/>
      <c r="Y84" s="109"/>
      <c r="Z84" s="2"/>
      <c r="AA84" s="112"/>
      <c r="AB84" s="112"/>
      <c r="AC84" s="2"/>
      <c r="AF84" s="2"/>
      <c r="AG84" s="2"/>
      <c r="AH84" s="2"/>
      <c r="AI84" s="2"/>
      <c r="AJ84" s="2"/>
      <c r="AK84" s="2"/>
      <c r="AL84" s="2"/>
      <c r="AM84" s="2"/>
    </row>
    <row r="85" spans="1:39">
      <c r="A85" s="111"/>
      <c r="B85" s="2"/>
      <c r="C85" s="112"/>
      <c r="D85" s="112"/>
      <c r="E85" s="2"/>
      <c r="F85" s="2"/>
      <c r="G85" s="2"/>
      <c r="H85" s="111"/>
      <c r="I85" s="110"/>
      <c r="J85" s="112"/>
      <c r="K85" s="112"/>
      <c r="L85" s="2"/>
      <c r="M85" s="2"/>
      <c r="N85" s="2"/>
      <c r="O85" s="111"/>
      <c r="P85" s="110"/>
      <c r="Q85" s="112"/>
      <c r="R85" s="112"/>
      <c r="S85" s="2"/>
      <c r="T85" s="2"/>
      <c r="U85" s="2"/>
      <c r="V85" s="111"/>
      <c r="W85" s="2"/>
      <c r="X85" s="2"/>
      <c r="Y85" s="109"/>
      <c r="Z85" s="2"/>
      <c r="AA85" s="2"/>
      <c r="AB85" s="2"/>
      <c r="AC85" s="2"/>
      <c r="AF85" s="2"/>
      <c r="AG85" s="2"/>
      <c r="AH85" s="2"/>
      <c r="AI85" s="2"/>
      <c r="AJ85" s="2"/>
      <c r="AK85" s="2"/>
      <c r="AL85" s="2"/>
      <c r="AM85" s="2"/>
    </row>
  </sheetData>
  <sheetProtection password="D816" sheet="1" objects="1" scenarios="1"/>
  <conditionalFormatting sqref="AI6">
    <cfRule type="cellIs" dxfId="0" priority="6" operator="lessThan">
      <formula>210</formula>
    </cfRule>
  </conditionalFormatting>
  <dataValidations count="10">
    <dataValidation type="list" allowBlank="1" showInputMessage="1" showErrorMessage="1" sqref="T21 M4 M21 F21">
      <formula1>"N,S"</formula1>
    </dataValidation>
    <dataValidation type="list" allowBlank="1" showInputMessage="1" showErrorMessage="1" sqref="M6">
      <formula1>"E,W"</formula1>
    </dataValidation>
    <dataValidation type="list" allowBlank="1" showInputMessage="1" showErrorMessage="1" sqref="F2">
      <formula1>"2,3"</formula1>
    </dataValidation>
    <dataValidation type="decimal" allowBlank="1" showInputMessage="1" showErrorMessage="1" sqref="I2">
      <formula1>0</formula1>
      <formula2>360</formula2>
    </dataValidation>
    <dataValidation type="decimal" allowBlank="1" showInputMessage="1" showErrorMessage="1" sqref="M2">
      <formula1>0</formula1>
      <formula2>100</formula2>
    </dataValidation>
    <dataValidation allowBlank="1" showInputMessage="1" showErrorMessage="1" error="Minimum Vlaue = 0 _x000a_Maximum Value = 360" sqref="AI6"/>
    <dataValidation type="decimal" allowBlank="1" showInputMessage="1" showErrorMessage="1" sqref="K4 K6">
      <formula1>0</formula1>
      <formula2>59.99</formula2>
    </dataValidation>
    <dataValidation type="whole" allowBlank="1" showInputMessage="1" showErrorMessage="1" sqref="I6">
      <formula1>0</formula1>
      <formula2>179</formula2>
    </dataValidation>
    <dataValidation type="whole" allowBlank="1" showInputMessage="1" showErrorMessage="1" sqref="I4">
      <formula1>0</formula1>
      <formula2>89</formula2>
    </dataValidation>
    <dataValidation type="list" allowBlank="1" showInputMessage="1" showErrorMessage="1" sqref="O13 H13 A13">
      <formula1>$AD$2:$AD$72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 by 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</cp:lastModifiedBy>
  <dcterms:created xsi:type="dcterms:W3CDTF">2015-06-20T18:48:09Z</dcterms:created>
  <dcterms:modified xsi:type="dcterms:W3CDTF">2015-07-26T18:34:19Z</dcterms:modified>
</cp:coreProperties>
</file>