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13_ncr:1_{C568E5C6-86E9-4669-A888-7C1990BF1B6F}" xr6:coauthVersionLast="45" xr6:coauthVersionMax="45" xr10:uidLastSave="{00000000-0000-0000-0000-000000000000}"/>
  <bookViews>
    <workbookView xWindow="-120" yWindow="-120" windowWidth="25440" windowHeight="15390" xr2:uid="{82BDEE7E-4C5D-4D3D-A94C-A1093E247A19}"/>
  </bookViews>
  <sheets>
    <sheet name="2020.10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1" l="1"/>
  <c r="E38" i="1" s="1"/>
  <c r="X37" i="1"/>
  <c r="X38" i="1" s="1"/>
  <c r="W38" i="1" s="1"/>
  <c r="F37" i="1"/>
  <c r="X36" i="1"/>
  <c r="F36" i="1"/>
  <c r="X26" i="1"/>
  <c r="F26" i="1"/>
  <c r="F23" i="1"/>
  <c r="E23" i="1"/>
  <c r="W22" i="1"/>
  <c r="W23" i="1" s="1"/>
  <c r="X23" i="1" s="1"/>
  <c r="E22" i="1"/>
  <c r="AB16" i="1"/>
  <c r="AB13" i="1"/>
  <c r="J13" i="1"/>
  <c r="AF11" i="1"/>
  <c r="N11" i="1"/>
  <c r="AF10" i="1"/>
  <c r="W10" i="1"/>
  <c r="X10" i="1" s="1"/>
  <c r="N10" i="1"/>
  <c r="F10" i="1"/>
  <c r="E10" i="1"/>
  <c r="E12" i="1" s="1"/>
  <c r="AF9" i="1"/>
  <c r="N9" i="1"/>
  <c r="AF8" i="1"/>
  <c r="X8" i="1"/>
  <c r="N8" i="1"/>
  <c r="F8" i="1"/>
  <c r="AF7" i="1"/>
  <c r="AF13" i="1" s="1"/>
  <c r="X7" i="1"/>
  <c r="N7" i="1"/>
  <c r="N13" i="1" s="1"/>
  <c r="F7" i="1"/>
  <c r="AF5" i="1"/>
  <c r="AE5" i="1"/>
  <c r="N5" i="1"/>
  <c r="M5" i="1"/>
  <c r="O5" i="1" s="1"/>
  <c r="AF4" i="1"/>
  <c r="AG5" i="1" s="1"/>
  <c r="AE4" i="1"/>
  <c r="S4" i="1"/>
  <c r="N4" i="1"/>
  <c r="M4" i="1"/>
  <c r="AF3" i="1"/>
  <c r="AE3" i="1"/>
  <c r="N3" i="1"/>
  <c r="M3" i="1"/>
  <c r="AF2" i="1"/>
  <c r="AG3" i="1" s="1"/>
  <c r="AE2" i="1"/>
  <c r="N2" i="1"/>
  <c r="AH3" i="1" l="1"/>
  <c r="V5" i="1" s="1"/>
  <c r="AH5" i="1"/>
  <c r="V4" i="1" s="1"/>
  <c r="AC13" i="1"/>
  <c r="V3" i="1" s="1"/>
  <c r="K13" i="1"/>
  <c r="D3" i="1" s="1"/>
  <c r="P5" i="1"/>
  <c r="D4" i="1" s="1"/>
  <c r="W12" i="1"/>
  <c r="M2" i="1"/>
  <c r="O3" i="1" s="1"/>
  <c r="A4" i="1"/>
  <c r="J16" i="1"/>
  <c r="P3" i="1" l="1"/>
  <c r="D5" i="1" s="1"/>
  <c r="V18" i="1"/>
  <c r="X5" i="1"/>
  <c r="X19" i="1" s="1"/>
  <c r="Q5" i="1"/>
  <c r="E4" i="1" s="1"/>
  <c r="E18" i="1" s="1"/>
  <c r="AD13" i="1"/>
  <c r="W3" i="1" s="1"/>
  <c r="X3" i="1" s="1"/>
  <c r="AI3" i="1"/>
  <c r="W5" i="1" s="1"/>
  <c r="F4" i="1"/>
  <c r="D18" i="1"/>
  <c r="E13" i="1"/>
  <c r="E14" i="1" s="1"/>
  <c r="F14" i="1" s="1"/>
  <c r="L13" i="1"/>
  <c r="E3" i="1" s="1"/>
  <c r="F3" i="1" s="1"/>
  <c r="F16" i="1" s="1"/>
  <c r="AI5" i="1"/>
  <c r="W4" i="1" s="1"/>
  <c r="W18" i="1" s="1"/>
  <c r="D16" i="1" l="1"/>
  <c r="G16" i="1"/>
  <c r="E16" i="1"/>
  <c r="F18" i="1"/>
  <c r="G4" i="1"/>
  <c r="X27" i="1"/>
  <c r="W19" i="1"/>
  <c r="V19" i="1"/>
  <c r="Y19" i="1"/>
  <c r="F5" i="1"/>
  <c r="F19" i="1" s="1"/>
  <c r="X4" i="1"/>
  <c r="Q3" i="1"/>
  <c r="E5" i="1" s="1"/>
  <c r="X18" i="1" l="1"/>
  <c r="Y4" i="1"/>
  <c r="W13" i="1" s="1"/>
  <c r="W14" i="1" s="1"/>
  <c r="X14" i="1" s="1"/>
  <c r="X16" i="1" s="1"/>
  <c r="F27" i="1"/>
  <c r="E19" i="1"/>
  <c r="D19" i="1"/>
  <c r="G19" i="1"/>
  <c r="V27" i="1"/>
  <c r="W27" i="1" s="1"/>
  <c r="Y27" i="1"/>
  <c r="F24" i="1"/>
  <c r="G18" i="1"/>
  <c r="G30" i="1" s="1"/>
  <c r="D24" i="1" l="1"/>
  <c r="G24" i="1"/>
  <c r="E24" i="1"/>
  <c r="E27" i="1"/>
  <c r="D27" i="1"/>
  <c r="G27" i="1"/>
  <c r="Y16" i="1"/>
  <c r="W16" i="1"/>
  <c r="V16" i="1"/>
  <c r="X24" i="1"/>
  <c r="Y18" i="1"/>
  <c r="Y30" i="1" l="1"/>
  <c r="V24" i="1"/>
  <c r="Y24" i="1"/>
  <c r="W24" i="1"/>
  <c r="G31" i="1"/>
  <c r="G29" i="1"/>
  <c r="Y31" i="1" l="1"/>
  <c r="Y29" i="1"/>
  <c r="Y33" i="1" s="1"/>
  <c r="X33" i="1" s="1"/>
  <c r="G33" i="1"/>
  <c r="F33" i="1" s="1"/>
  <c r="D33" i="1" l="1"/>
  <c r="E33" i="1" s="1"/>
  <c r="F39" i="1"/>
  <c r="E39" i="1" s="1"/>
  <c r="E41" i="1" s="1"/>
  <c r="C43" i="1" s="1"/>
  <c r="V33" i="1"/>
  <c r="X39" i="1"/>
  <c r="W39" i="1" s="1"/>
  <c r="W41" i="1" s="1"/>
  <c r="U43" i="1" s="1"/>
  <c r="W33" i="1"/>
  <c r="C45" i="1" l="1"/>
  <c r="D45" i="1"/>
  <c r="V45" i="1"/>
  <c r="U45" i="1"/>
  <c r="M48" i="1" l="1"/>
</calcChain>
</file>

<file path=xl/sharedStrings.xml><?xml version="1.0" encoding="utf-8"?>
<sst xmlns="http://schemas.openxmlformats.org/spreadsheetml/2006/main" count="82" uniqueCount="50">
  <si>
    <t>Moon - Jupiter near limb</t>
  </si>
  <si>
    <t>Δt sec</t>
  </si>
  <si>
    <t>Hs</t>
  </si>
  <si>
    <t>Moon - Mars far limb</t>
  </si>
  <si>
    <t>sextant</t>
  </si>
  <si>
    <t>deg</t>
  </si>
  <si>
    <t>rad</t>
  </si>
  <si>
    <t>Jupiter</t>
  </si>
  <si>
    <t>Mars</t>
  </si>
  <si>
    <t>LD</t>
  </si>
  <si>
    <t>HsMoon</t>
  </si>
  <si>
    <t>Moon</t>
  </si>
  <si>
    <t>HsJupiter</t>
  </si>
  <si>
    <t>HsMars</t>
  </si>
  <si>
    <t>Moon Near Limb - Jupiter</t>
  </si>
  <si>
    <t>Moon Far Limb - Mars</t>
  </si>
  <si>
    <t>IE SNO</t>
  </si>
  <si>
    <t>IE Link</t>
  </si>
  <si>
    <t>HP of Moon</t>
  </si>
  <si>
    <t>SD</t>
  </si>
  <si>
    <t>Average</t>
  </si>
  <si>
    <t>augmentation</t>
  </si>
  <si>
    <t>Augmented SD</t>
  </si>
  <si>
    <t>Observed LDapp</t>
  </si>
  <si>
    <t xml:space="preserve">This is the real UTC </t>
  </si>
  <si>
    <t>Observed LDApp</t>
  </si>
  <si>
    <t>HappMoon</t>
  </si>
  <si>
    <t>HappJupiter</t>
  </si>
  <si>
    <t>HappMars</t>
  </si>
  <si>
    <t>Moon corr</t>
  </si>
  <si>
    <t>HMoon</t>
  </si>
  <si>
    <t>Jupiter Refr</t>
  </si>
  <si>
    <t>Mars Refr</t>
  </si>
  <si>
    <t>Hjupiter</t>
  </si>
  <si>
    <t>Hmars</t>
  </si>
  <si>
    <t>Young</t>
  </si>
  <si>
    <t>I</t>
  </si>
  <si>
    <t>II</t>
  </si>
  <si>
    <t>III</t>
  </si>
  <si>
    <t>D Cleared</t>
  </si>
  <si>
    <t>Tabulated</t>
  </si>
  <si>
    <t>Delta 1hour</t>
  </si>
  <si>
    <t>Delta obs</t>
  </si>
  <si>
    <t>Delta time</t>
  </si>
  <si>
    <t>minute</t>
  </si>
  <si>
    <t>calculated UT</t>
  </si>
  <si>
    <t>calculated watch error</t>
  </si>
  <si>
    <t>fast</t>
  </si>
  <si>
    <t>Actual watch error (compared to GPS)</t>
  </si>
  <si>
    <t xml:space="preserve">The calculated watch error average is: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</si>
</sst>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\°"/>
    <numFmt numFmtId="165" formatCode="0.0\'"/>
    <numFmt numFmtId="166" formatCode="0.0000"/>
    <numFmt numFmtId="167" formatCode="#,##0.00_ ;[Red]\-#,##0.00\ "/>
    <numFmt numFmtId="168" formatCode="0.000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/>
    <xf numFmtId="164" fontId="4" fillId="0" borderId="0" xfId="0" applyNumberFormat="1" applyFont="1"/>
    <xf numFmtId="165" fontId="4" fillId="0" borderId="0" xfId="0" applyNumberFormat="1" applyFont="1"/>
    <xf numFmtId="166" fontId="0" fillId="0" borderId="1" xfId="0" applyNumberFormat="1" applyBorder="1"/>
    <xf numFmtId="167" fontId="2" fillId="0" borderId="0" xfId="0" applyNumberFormat="1" applyFont="1"/>
    <xf numFmtId="0" fontId="2" fillId="0" borderId="0" xfId="0" applyFont="1"/>
    <xf numFmtId="0" fontId="4" fillId="2" borderId="0" xfId="0" applyFont="1" applyFill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21" fontId="0" fillId="0" borderId="0" xfId="0" applyNumberFormat="1"/>
    <xf numFmtId="167" fontId="0" fillId="0" borderId="0" xfId="0" applyNumberFormat="1"/>
    <xf numFmtId="166" fontId="0" fillId="0" borderId="0" xfId="0" applyNumberFormat="1"/>
    <xf numFmtId="0" fontId="0" fillId="2" borderId="0" xfId="0" applyFill="1"/>
    <xf numFmtId="14" fontId="0" fillId="0" borderId="0" xfId="0" applyNumberFormat="1"/>
    <xf numFmtId="164" fontId="2" fillId="0" borderId="2" xfId="0" applyNumberFormat="1" applyFont="1" applyBorder="1"/>
    <xf numFmtId="165" fontId="2" fillId="0" borderId="3" xfId="0" applyNumberFormat="1" applyFont="1" applyBorder="1"/>
    <xf numFmtId="21" fontId="2" fillId="0" borderId="0" xfId="0" applyNumberFormat="1" applyFont="1"/>
    <xf numFmtId="168" fontId="0" fillId="0" borderId="0" xfId="0" applyNumberFormat="1"/>
    <xf numFmtId="46" fontId="0" fillId="0" borderId="0" xfId="0" applyNumberFormat="1"/>
    <xf numFmtId="46" fontId="2" fillId="0" borderId="4" xfId="0" applyNumberFormat="1" applyFont="1" applyBorder="1"/>
    <xf numFmtId="164" fontId="2" fillId="0" borderId="0" xfId="0" applyNumberFormat="1" applyFont="1"/>
    <xf numFmtId="165" fontId="2" fillId="0" borderId="0" xfId="0" applyNumberFormat="1" applyFont="1"/>
    <xf numFmtId="0" fontId="2" fillId="0" borderId="2" xfId="0" applyFont="1" applyBorder="1"/>
    <xf numFmtId="164" fontId="2" fillId="0" borderId="5" xfId="0" applyNumberFormat="1" applyFont="1" applyBorder="1"/>
    <xf numFmtId="0" fontId="1" fillId="0" borderId="0" xfId="0" applyFont="1"/>
    <xf numFmtId="0" fontId="0" fillId="0" borderId="6" xfId="0" applyBorder="1"/>
    <xf numFmtId="0" fontId="0" fillId="0" borderId="7" xfId="0" applyBorder="1"/>
    <xf numFmtId="20" fontId="0" fillId="0" borderId="7" xfId="0" applyNumberFormat="1" applyBorder="1"/>
    <xf numFmtId="164" fontId="0" fillId="0" borderId="7" xfId="0" applyNumberFormat="1" applyBorder="1"/>
    <xf numFmtId="165" fontId="0" fillId="0" borderId="8" xfId="0" applyNumberFormat="1" applyBorder="1"/>
    <xf numFmtId="165" fontId="0" fillId="0" borderId="7" xfId="0" applyNumberFormat="1" applyBorder="1"/>
    <xf numFmtId="0" fontId="0" fillId="0" borderId="9" xfId="0" applyBorder="1"/>
    <xf numFmtId="0" fontId="0" fillId="0" borderId="10" xfId="0" applyBorder="1"/>
    <xf numFmtId="20" fontId="0" fillId="0" borderId="10" xfId="0" applyNumberFormat="1" applyBorder="1"/>
    <xf numFmtId="164" fontId="0" fillId="0" borderId="10" xfId="0" applyNumberFormat="1" applyBorder="1"/>
    <xf numFmtId="165" fontId="0" fillId="0" borderId="11" xfId="0" applyNumberFormat="1" applyBorder="1"/>
    <xf numFmtId="165" fontId="0" fillId="0" borderId="10" xfId="0" applyNumberFormat="1" applyBorder="1"/>
    <xf numFmtId="43" fontId="0" fillId="0" borderId="0" xfId="1" applyFont="1"/>
    <xf numFmtId="0" fontId="2" fillId="0" borderId="5" xfId="0" applyFont="1" applyBorder="1"/>
    <xf numFmtId="21" fontId="2" fillId="0" borderId="3" xfId="0" applyNumberFormat="1" applyFont="1" applyBorder="1"/>
    <xf numFmtId="0" fontId="0" fillId="0" borderId="12" xfId="0" applyBorder="1"/>
    <xf numFmtId="0" fontId="0" fillId="0" borderId="13" xfId="0" applyBorder="1"/>
    <xf numFmtId="164" fontId="0" fillId="0" borderId="13" xfId="0" applyNumberFormat="1" applyBorder="1"/>
    <xf numFmtId="165" fontId="0" fillId="0" borderId="13" xfId="0" applyNumberFormat="1" applyBorder="1"/>
    <xf numFmtId="166" fontId="0" fillId="0" borderId="13" xfId="0" applyNumberFormat="1" applyBorder="1"/>
    <xf numFmtId="167" fontId="0" fillId="0" borderId="13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164" fontId="0" fillId="0" borderId="18" xfId="0" applyNumberFormat="1" applyBorder="1"/>
    <xf numFmtId="165" fontId="0" fillId="0" borderId="18" xfId="0" applyNumberFormat="1" applyBorder="1"/>
    <xf numFmtId="166" fontId="0" fillId="0" borderId="18" xfId="0" applyNumberFormat="1" applyBorder="1"/>
    <xf numFmtId="167" fontId="0" fillId="0" borderId="18" xfId="0" applyNumberFormat="1" applyBorder="1"/>
    <xf numFmtId="0" fontId="0" fillId="0" borderId="19" xfId="0" applyBorder="1"/>
    <xf numFmtId="164" fontId="0" fillId="0" borderId="0" xfId="0" applyNumberForma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48029-D3F1-4ECC-B4DA-3DB23F747FAF}">
  <dimension ref="A1:AI51"/>
  <sheetViews>
    <sheetView tabSelected="1" workbookViewId="0">
      <selection activeCell="N43" sqref="N43"/>
    </sheetView>
  </sheetViews>
  <sheetFormatPr defaultRowHeight="15" x14ac:dyDescent="0.25"/>
  <cols>
    <col min="1" max="1" width="10.140625" bestFit="1" customWidth="1"/>
    <col min="2" max="2" width="10.85546875" customWidth="1"/>
    <col min="3" max="3" width="10.7109375" bestFit="1" customWidth="1"/>
    <col min="4" max="4" width="4.7109375" style="8" customWidth="1"/>
    <col min="5" max="5" width="7.140625" style="9" bestFit="1" customWidth="1"/>
    <col min="6" max="6" width="9.85546875" style="4" customWidth="1"/>
    <col min="11" max="11" width="5.5703125" customWidth="1"/>
    <col min="12" max="12" width="5.140625" bestFit="1" customWidth="1"/>
    <col min="13" max="13" width="8.28515625" style="12" customWidth="1"/>
    <col min="15" max="15" width="12.7109375" customWidth="1"/>
    <col min="16" max="16" width="4.28515625" customWidth="1"/>
    <col min="17" max="17" width="5" bestFit="1" customWidth="1"/>
    <col min="18" max="18" width="4.85546875" style="14" customWidth="1"/>
    <col min="19" max="19" width="10.7109375" customWidth="1"/>
    <col min="20" max="20" width="10.140625" customWidth="1"/>
    <col min="21" max="21" width="10.85546875" customWidth="1"/>
    <col min="22" max="22" width="5.5703125" customWidth="1"/>
    <col min="23" max="23" width="7" customWidth="1"/>
    <col min="24" max="24" width="9.85546875" style="4" customWidth="1"/>
    <col min="34" max="34" width="4.7109375" customWidth="1"/>
    <col min="35" max="35" width="5.140625" bestFit="1" customWidth="1"/>
  </cols>
  <sheetData>
    <row r="1" spans="1:35" s="1" customFormat="1" ht="21" x14ac:dyDescent="0.35">
      <c r="A1" s="1" t="s">
        <v>0</v>
      </c>
      <c r="D1" s="2"/>
      <c r="E1" s="3"/>
      <c r="F1" s="4"/>
      <c r="M1" s="5" t="s">
        <v>1</v>
      </c>
      <c r="N1" s="6" t="s">
        <v>2</v>
      </c>
      <c r="O1" s="6"/>
      <c r="R1" s="7"/>
      <c r="S1" s="1" t="s">
        <v>3</v>
      </c>
      <c r="V1" s="2"/>
      <c r="W1" s="3"/>
      <c r="X1" s="4"/>
      <c r="AE1" s="5" t="s">
        <v>1</v>
      </c>
      <c r="AF1" s="6" t="s">
        <v>2</v>
      </c>
    </row>
    <row r="2" spans="1:35" ht="15.75" thickBot="1" x14ac:dyDescent="0.3">
      <c r="D2" s="8" t="s">
        <v>4</v>
      </c>
      <c r="F2" s="4" t="s">
        <v>5</v>
      </c>
      <c r="G2" s="10" t="s">
        <v>6</v>
      </c>
      <c r="I2" t="s">
        <v>7</v>
      </c>
      <c r="J2" s="11">
        <v>0.73307870370370365</v>
      </c>
      <c r="K2" s="8">
        <v>17</v>
      </c>
      <c r="L2" s="9">
        <v>34</v>
      </c>
      <c r="M2" s="12">
        <f>(J2-$J$13)*24*60*60</f>
        <v>-306.00000000000944</v>
      </c>
      <c r="N2" s="13">
        <f>K2+L2/60</f>
        <v>17.566666666666666</v>
      </c>
      <c r="V2" s="58" t="s">
        <v>4</v>
      </c>
      <c r="W2" s="58"/>
      <c r="X2" s="4" t="s">
        <v>5</v>
      </c>
      <c r="Y2" s="10" t="s">
        <v>6</v>
      </c>
      <c r="AA2" t="s">
        <v>8</v>
      </c>
      <c r="AB2" s="11">
        <v>0.74503472222222233</v>
      </c>
      <c r="AC2" s="8">
        <v>24</v>
      </c>
      <c r="AD2" s="9">
        <v>24</v>
      </c>
      <c r="AE2" s="12">
        <f>(AB2-$AB$13)*24*60*60</f>
        <v>59.600000000016351</v>
      </c>
      <c r="AF2" s="13">
        <f>AC2+AD2/60</f>
        <v>24.4</v>
      </c>
    </row>
    <row r="3" spans="1:35" ht="15.75" thickBot="1" x14ac:dyDescent="0.3">
      <c r="A3" s="15">
        <v>44127</v>
      </c>
      <c r="C3" t="s">
        <v>9</v>
      </c>
      <c r="D3" s="8">
        <f>K13</f>
        <v>12</v>
      </c>
      <c r="E3" s="9">
        <f>L13</f>
        <v>54.060000000000095</v>
      </c>
      <c r="F3" s="4">
        <f t="shared" ref="F3:F5" si="0">D3+E3/60</f>
        <v>12.901000000000002</v>
      </c>
      <c r="J3" s="11">
        <v>0.73982638888888896</v>
      </c>
      <c r="K3" s="8">
        <v>16</v>
      </c>
      <c r="L3" s="9">
        <v>51</v>
      </c>
      <c r="M3" s="12">
        <f t="shared" ref="M3:M5" si="1">(J3-$J$13)*24*60*60</f>
        <v>277.00000000000171</v>
      </c>
      <c r="N3" s="13">
        <f t="shared" ref="N3:N5" si="2">K3+L3/60</f>
        <v>16.850000000000001</v>
      </c>
      <c r="O3">
        <f>(N3-N2)/(M3-M2)*(-M2)+N2</f>
        <v>17.190508862206972</v>
      </c>
      <c r="P3" s="16">
        <f>INT(O3)</f>
        <v>17</v>
      </c>
      <c r="Q3" s="17">
        <f>(O3-P3)*60</f>
        <v>11.430531732418316</v>
      </c>
      <c r="S3" s="15">
        <v>44127</v>
      </c>
      <c r="U3" t="s">
        <v>9</v>
      </c>
      <c r="V3" s="8">
        <f>AC13</f>
        <v>75</v>
      </c>
      <c r="W3" s="9">
        <f>AD13</f>
        <v>38.019999999999357</v>
      </c>
      <c r="X3" s="4">
        <f t="shared" ref="X3:X10" si="3">V3+W3/60</f>
        <v>75.633666666666656</v>
      </c>
      <c r="AB3" s="11">
        <v>0.74868055555555557</v>
      </c>
      <c r="AC3" s="8">
        <v>25</v>
      </c>
      <c r="AD3" s="9">
        <v>18</v>
      </c>
      <c r="AE3" s="12">
        <f t="shared" ref="AE3:AE5" si="4">(AB3-$AB$13)*24*60*60</f>
        <v>374.60000000000804</v>
      </c>
      <c r="AF3" s="13">
        <f t="shared" ref="AF3:AF5" si="5">AC3+AD3/60</f>
        <v>25.3</v>
      </c>
      <c r="AG3">
        <f>(AF3-AF2)/(AE3-AE2)*(-AE2)+AF2</f>
        <v>24.229714285714234</v>
      </c>
      <c r="AH3" s="16">
        <f>INT(AG3)</f>
        <v>24</v>
      </c>
      <c r="AI3" s="17">
        <f>(AG3-AH3)*60</f>
        <v>13.782857142854041</v>
      </c>
    </row>
    <row r="4" spans="1:35" ht="15.75" thickBot="1" x14ac:dyDescent="0.3">
      <c r="A4" s="11">
        <f>J13</f>
        <v>0.73662037037037043</v>
      </c>
      <c r="C4" t="s">
        <v>10</v>
      </c>
      <c r="D4" s="8">
        <f>P5</f>
        <v>18</v>
      </c>
      <c r="E4" s="9">
        <f>Q5</f>
        <v>41.802105263157969</v>
      </c>
      <c r="F4" s="4">
        <f t="shared" si="0"/>
        <v>18.696701754385966</v>
      </c>
      <c r="G4">
        <f t="shared" ref="G4" si="6">RADIANS(F4)</f>
        <v>0.32631900487743526</v>
      </c>
      <c r="I4" t="s">
        <v>11</v>
      </c>
      <c r="J4" s="11">
        <v>0.73364583333333344</v>
      </c>
      <c r="K4" s="8">
        <v>18</v>
      </c>
      <c r="L4" s="9">
        <v>51</v>
      </c>
      <c r="M4" s="12">
        <f t="shared" si="1"/>
        <v>-256.9999999999954</v>
      </c>
      <c r="N4" s="13">
        <f t="shared" si="2"/>
        <v>18.850000000000001</v>
      </c>
      <c r="S4" s="11">
        <f>AB13</f>
        <v>0.74434490740740733</v>
      </c>
      <c r="U4" t="s">
        <v>10</v>
      </c>
      <c r="V4" s="8">
        <f>AH5</f>
        <v>18</v>
      </c>
      <c r="W4" s="9">
        <f>AI5</f>
        <v>19.381818181818247</v>
      </c>
      <c r="X4" s="4">
        <f t="shared" si="3"/>
        <v>18.323030303030304</v>
      </c>
      <c r="Y4">
        <f t="shared" ref="Y4" si="7">RADIANS(X4)</f>
        <v>0.31979720773057313</v>
      </c>
      <c r="AA4" t="s">
        <v>11</v>
      </c>
      <c r="AB4" s="11">
        <v>0.74410879629629623</v>
      </c>
      <c r="AC4" s="8">
        <v>18</v>
      </c>
      <c r="AD4" s="9">
        <v>20</v>
      </c>
      <c r="AE4" s="12">
        <f t="shared" si="4"/>
        <v>-20.399999999999352</v>
      </c>
      <c r="AF4" s="13">
        <f t="shared" si="5"/>
        <v>18.333333333333332</v>
      </c>
    </row>
    <row r="5" spans="1:35" ht="15.75" thickBot="1" x14ac:dyDescent="0.3">
      <c r="C5" t="s">
        <v>12</v>
      </c>
      <c r="D5" s="8">
        <f>P3</f>
        <v>17</v>
      </c>
      <c r="E5" s="9">
        <f>Q3</f>
        <v>11.430531732418316</v>
      </c>
      <c r="F5" s="4">
        <f t="shared" si="0"/>
        <v>17.190508862206972</v>
      </c>
      <c r="J5" s="11">
        <v>0.73914351851851856</v>
      </c>
      <c r="K5" s="8">
        <v>18</v>
      </c>
      <c r="L5" s="9">
        <v>34</v>
      </c>
      <c r="M5" s="12">
        <f t="shared" si="1"/>
        <v>217.99999999999892</v>
      </c>
      <c r="N5" s="13">
        <f t="shared" si="2"/>
        <v>18.566666666666666</v>
      </c>
      <c r="O5">
        <f>(N5-N4)/(M5-M4)*(-M4)+N4</f>
        <v>18.696701754385966</v>
      </c>
      <c r="P5" s="16">
        <f>INT(O5)</f>
        <v>18</v>
      </c>
      <c r="Q5" s="17">
        <f>(O5-P5)*60</f>
        <v>41.802105263157969</v>
      </c>
      <c r="U5" t="s">
        <v>13</v>
      </c>
      <c r="V5" s="8">
        <f>AH3</f>
        <v>24</v>
      </c>
      <c r="W5" s="9">
        <f>AI3</f>
        <v>13.782857142854041</v>
      </c>
      <c r="X5" s="4">
        <f t="shared" si="3"/>
        <v>24.229714285714234</v>
      </c>
      <c r="AB5" s="11">
        <v>0.74945601851851851</v>
      </c>
      <c r="AC5" s="8">
        <v>18</v>
      </c>
      <c r="AD5" s="9">
        <v>6</v>
      </c>
      <c r="AE5" s="12">
        <f t="shared" si="4"/>
        <v>441.60000000000571</v>
      </c>
      <c r="AF5" s="13">
        <f t="shared" si="5"/>
        <v>18.100000000000001</v>
      </c>
      <c r="AG5">
        <f>(AF5-AF4)/(AE5-AE4)*(-AE4)+AF4</f>
        <v>18.323030303030304</v>
      </c>
      <c r="AH5" s="16">
        <f>INT(AG5)</f>
        <v>18</v>
      </c>
      <c r="AI5" s="17">
        <f>(AG5-AH5)*60</f>
        <v>19.381818181818247</v>
      </c>
    </row>
    <row r="6" spans="1:35" x14ac:dyDescent="0.25">
      <c r="I6" s="18" t="s">
        <v>14</v>
      </c>
      <c r="V6" s="8"/>
      <c r="W6" s="9"/>
      <c r="AA6" s="18" t="s">
        <v>15</v>
      </c>
      <c r="AE6" s="12"/>
    </row>
    <row r="7" spans="1:35" x14ac:dyDescent="0.25">
      <c r="C7" t="s">
        <v>16</v>
      </c>
      <c r="E7" s="9">
        <v>-0.1</v>
      </c>
      <c r="F7" s="4">
        <f t="shared" ref="F7:F8" si="8">D7+E7/60</f>
        <v>-1.6666666666666668E-3</v>
      </c>
      <c r="J7" s="11">
        <v>0.73473379629629632</v>
      </c>
      <c r="K7" s="8">
        <v>12</v>
      </c>
      <c r="L7" s="9">
        <v>53.4</v>
      </c>
      <c r="N7" s="13">
        <f>K7+L7/60</f>
        <v>12.89</v>
      </c>
      <c r="O7" s="19"/>
      <c r="U7" t="s">
        <v>16</v>
      </c>
      <c r="V7" s="8"/>
      <c r="W7" s="9">
        <v>-0.1</v>
      </c>
      <c r="X7" s="4">
        <f t="shared" si="3"/>
        <v>-1.6666666666666668E-3</v>
      </c>
      <c r="AB7" s="11">
        <v>0.74148148148148152</v>
      </c>
      <c r="AC7" s="8">
        <v>75</v>
      </c>
      <c r="AD7" s="9">
        <v>39.9</v>
      </c>
      <c r="AE7" s="12"/>
      <c r="AF7" s="13">
        <f>AC7+AD7/60</f>
        <v>75.665000000000006</v>
      </c>
      <c r="AG7" s="19"/>
    </row>
    <row r="8" spans="1:35" x14ac:dyDescent="0.25">
      <c r="C8" t="s">
        <v>17</v>
      </c>
      <c r="E8" s="9">
        <v>2.2999999999999998</v>
      </c>
      <c r="F8" s="4">
        <f t="shared" si="8"/>
        <v>3.833333333333333E-2</v>
      </c>
      <c r="J8" s="20">
        <v>0.73581018518518526</v>
      </c>
      <c r="K8" s="8">
        <v>12</v>
      </c>
      <c r="L8" s="9">
        <v>53.7</v>
      </c>
      <c r="N8" s="13">
        <f t="shared" ref="N8:N11" si="9">K8+L8/60</f>
        <v>12.895</v>
      </c>
      <c r="O8" s="19"/>
      <c r="U8" t="s">
        <v>17</v>
      </c>
      <c r="V8" s="8"/>
      <c r="W8" s="9">
        <v>2.2999999999999998</v>
      </c>
      <c r="X8" s="4">
        <f t="shared" si="3"/>
        <v>3.833333333333333E-2</v>
      </c>
      <c r="AB8" s="20">
        <v>0.74245370370370367</v>
      </c>
      <c r="AC8" s="8">
        <v>75</v>
      </c>
      <c r="AD8" s="9">
        <v>39</v>
      </c>
      <c r="AE8" s="12"/>
      <c r="AF8" s="13">
        <f t="shared" ref="AF8:AF11" si="10">AC8+AD8/60</f>
        <v>75.650000000000006</v>
      </c>
      <c r="AG8" s="19"/>
    </row>
    <row r="9" spans="1:35" x14ac:dyDescent="0.25">
      <c r="J9" s="20">
        <v>0.73664351851851861</v>
      </c>
      <c r="K9" s="8">
        <v>12</v>
      </c>
      <c r="L9" s="9">
        <v>53.9</v>
      </c>
      <c r="N9" s="13">
        <f t="shared" si="9"/>
        <v>12.898333333333333</v>
      </c>
      <c r="O9" s="19"/>
      <c r="V9" s="8"/>
      <c r="W9" s="9"/>
      <c r="AB9" s="20">
        <v>0.74327546296296287</v>
      </c>
      <c r="AC9" s="8">
        <v>75</v>
      </c>
      <c r="AD9" s="9">
        <v>38.6</v>
      </c>
      <c r="AE9" s="12"/>
      <c r="AF9" s="13">
        <f t="shared" si="10"/>
        <v>75.643333333333331</v>
      </c>
      <c r="AG9" s="19"/>
    </row>
    <row r="10" spans="1:35" x14ac:dyDescent="0.25">
      <c r="A10" t="s">
        <v>18</v>
      </c>
      <c r="E10" s="9">
        <f>3400/60</f>
        <v>56.666666666666664</v>
      </c>
      <c r="F10" s="4">
        <f t="shared" ref="F10" si="11">D10+E10/60</f>
        <v>0.94444444444444442</v>
      </c>
      <c r="J10" s="11">
        <v>0.73753472222222216</v>
      </c>
      <c r="K10" s="8">
        <v>12</v>
      </c>
      <c r="L10" s="9">
        <v>54.3</v>
      </c>
      <c r="N10" s="13">
        <f t="shared" si="9"/>
        <v>12.904999999999999</v>
      </c>
      <c r="O10" s="19"/>
      <c r="S10" t="s">
        <v>18</v>
      </c>
      <c r="V10" s="8"/>
      <c r="W10" s="9">
        <f>3400/60</f>
        <v>56.666666666666664</v>
      </c>
      <c r="X10" s="4">
        <f t="shared" si="3"/>
        <v>0.94444444444444442</v>
      </c>
      <c r="AB10" s="11">
        <v>0.74674768518518519</v>
      </c>
      <c r="AC10" s="8">
        <v>75</v>
      </c>
      <c r="AD10" s="9">
        <v>36.700000000000003</v>
      </c>
      <c r="AE10" s="12"/>
      <c r="AF10" s="13">
        <f t="shared" si="10"/>
        <v>75.611666666666665</v>
      </c>
      <c r="AG10" s="19"/>
    </row>
    <row r="11" spans="1:35" x14ac:dyDescent="0.25">
      <c r="J11" s="11">
        <v>0.73837962962962955</v>
      </c>
      <c r="K11" s="8">
        <v>12</v>
      </c>
      <c r="L11" s="9">
        <v>55</v>
      </c>
      <c r="N11" s="13">
        <f t="shared" si="9"/>
        <v>12.916666666666666</v>
      </c>
      <c r="O11" s="19"/>
      <c r="V11" s="8"/>
      <c r="W11" s="9"/>
      <c r="AB11" s="11">
        <v>0.74776620370370372</v>
      </c>
      <c r="AC11" s="8">
        <v>75</v>
      </c>
      <c r="AD11" s="9">
        <v>35.9</v>
      </c>
      <c r="AE11" s="12"/>
      <c r="AF11" s="13">
        <f t="shared" si="10"/>
        <v>75.598333333333329</v>
      </c>
      <c r="AG11" s="19"/>
    </row>
    <row r="12" spans="1:35" ht="15.75" thickBot="1" x14ac:dyDescent="0.3">
      <c r="A12" t="s">
        <v>19</v>
      </c>
      <c r="E12" s="9">
        <f>E10*0.2724</f>
        <v>15.435999999999998</v>
      </c>
      <c r="I12" t="s">
        <v>20</v>
      </c>
      <c r="J12" s="11"/>
      <c r="K12" s="8"/>
      <c r="L12" s="9"/>
      <c r="S12" t="s">
        <v>19</v>
      </c>
      <c r="V12" s="8"/>
      <c r="W12" s="9">
        <f>W10*0.2724</f>
        <v>15.435999999999998</v>
      </c>
      <c r="AA12" t="s">
        <v>20</v>
      </c>
      <c r="AB12" s="11"/>
      <c r="AC12" s="8"/>
      <c r="AD12" s="9"/>
      <c r="AE12" s="12"/>
    </row>
    <row r="13" spans="1:35" ht="15.75" thickBot="1" x14ac:dyDescent="0.3">
      <c r="A13" t="s">
        <v>21</v>
      </c>
      <c r="E13" s="9">
        <f>0.3*SIN(RADIANS(D4+E4/60))</f>
        <v>9.6167539098692051E-2</v>
      </c>
      <c r="J13" s="21">
        <f>AVERAGE(J7:J11)</f>
        <v>0.73662037037037043</v>
      </c>
      <c r="K13" s="16">
        <f>INT(N13)</f>
        <v>12</v>
      </c>
      <c r="L13" s="17">
        <f>(N13-K13)*60</f>
        <v>54.060000000000095</v>
      </c>
      <c r="N13" s="13">
        <f>AVERAGE(N7:N11)</f>
        <v>12.901000000000002</v>
      </c>
      <c r="S13" t="s">
        <v>21</v>
      </c>
      <c r="V13" s="8"/>
      <c r="W13" s="9">
        <f>0.3*SIN(Y4)</f>
        <v>9.4312216963366641E-2</v>
      </c>
      <c r="AB13" s="21">
        <f>AVERAGE(AB7:AB11)</f>
        <v>0.74434490740740733</v>
      </c>
      <c r="AC13" s="16">
        <f>INT(AF13)</f>
        <v>75</v>
      </c>
      <c r="AD13" s="17">
        <f>(AF13-AC13)*60</f>
        <v>38.019999999999357</v>
      </c>
      <c r="AE13" s="12"/>
      <c r="AF13" s="13">
        <f>AVERAGE(AF7:AF11)</f>
        <v>75.633666666666656</v>
      </c>
    </row>
    <row r="14" spans="1:35" x14ac:dyDescent="0.25">
      <c r="A14" t="s">
        <v>22</v>
      </c>
      <c r="E14" s="9">
        <f>SUM(E12:E13)</f>
        <v>15.53216753909869</v>
      </c>
      <c r="F14" s="4">
        <f>D14+E14/60</f>
        <v>0.25886945898497815</v>
      </c>
      <c r="J14" s="11"/>
      <c r="K14" s="8"/>
      <c r="L14" s="9"/>
      <c r="S14" t="s">
        <v>22</v>
      </c>
      <c r="V14" s="8"/>
      <c r="W14" s="9">
        <f>SUM(W12:W13)</f>
        <v>15.530312216963365</v>
      </c>
      <c r="X14" s="4">
        <f>V14+W14/60</f>
        <v>0.25883853694938941</v>
      </c>
      <c r="AB14" s="11"/>
      <c r="AC14" s="8"/>
      <c r="AD14" s="9"/>
      <c r="AE14" s="12"/>
    </row>
    <row r="15" spans="1:35" x14ac:dyDescent="0.25">
      <c r="J15" s="11"/>
      <c r="K15" s="8"/>
      <c r="L15" s="9"/>
      <c r="V15" s="8"/>
      <c r="W15" s="9"/>
      <c r="AB15" s="11"/>
      <c r="AC15" s="8"/>
      <c r="AD15" s="9"/>
      <c r="AE15" s="12"/>
    </row>
    <row r="16" spans="1:35" x14ac:dyDescent="0.25">
      <c r="A16" t="s">
        <v>23</v>
      </c>
      <c r="C16" s="6"/>
      <c r="D16" s="22">
        <f>INT(F16)</f>
        <v>13</v>
      </c>
      <c r="E16" s="23">
        <f>(F16-D16)*60</f>
        <v>9.6921675390988327</v>
      </c>
      <c r="F16" s="4">
        <f>F3-F7+F14</f>
        <v>13.161536125651647</v>
      </c>
      <c r="G16">
        <f t="shared" ref="G16:G19" si="12">RADIANS(F16)</f>
        <v>0.22971214001279935</v>
      </c>
      <c r="J16" s="11">
        <f>J13-$M$50</f>
        <v>0.73528935185185196</v>
      </c>
      <c r="K16" s="8" t="s">
        <v>24</v>
      </c>
      <c r="L16" s="9"/>
      <c r="S16" t="s">
        <v>25</v>
      </c>
      <c r="U16" s="6"/>
      <c r="V16" s="22">
        <f>INT(X16)</f>
        <v>75</v>
      </c>
      <c r="W16" s="23">
        <f>(X16-V16)*60</f>
        <v>22.589687783036254</v>
      </c>
      <c r="X16" s="4">
        <f>X3-X7-X14</f>
        <v>75.376494796383938</v>
      </c>
      <c r="Y16">
        <f t="shared" ref="Y16:Y19" si="13">RADIANS(X16)</f>
        <v>1.3155680128092726</v>
      </c>
      <c r="AB16" s="11">
        <f>AB13-$M$50</f>
        <v>0.74301388888888886</v>
      </c>
      <c r="AC16" s="8" t="s">
        <v>24</v>
      </c>
      <c r="AD16" s="9"/>
      <c r="AE16" s="12"/>
    </row>
    <row r="17" spans="2:31" x14ac:dyDescent="0.25">
      <c r="V17" s="8"/>
      <c r="W17" s="9"/>
      <c r="AE17" s="12"/>
    </row>
    <row r="18" spans="2:31" x14ac:dyDescent="0.25">
      <c r="C18" s="6" t="s">
        <v>26</v>
      </c>
      <c r="D18" s="22">
        <f>D4</f>
        <v>18</v>
      </c>
      <c r="E18" s="23">
        <f>E4-E8</f>
        <v>39.502105263157972</v>
      </c>
      <c r="F18" s="4">
        <f>F4-F8</f>
        <v>18.658368421052632</v>
      </c>
      <c r="G18">
        <f t="shared" si="12"/>
        <v>0.32564996199750412</v>
      </c>
      <c r="U18" s="6" t="s">
        <v>26</v>
      </c>
      <c r="V18" s="22">
        <f>V4</f>
        <v>18</v>
      </c>
      <c r="W18" s="23">
        <f>W4-W8</f>
        <v>17.081818181818246</v>
      </c>
      <c r="X18" s="4">
        <f>X4-X8</f>
        <v>18.28469696969697</v>
      </c>
      <c r="Y18">
        <f t="shared" si="13"/>
        <v>0.31912816485064199</v>
      </c>
      <c r="AE18" s="12"/>
    </row>
    <row r="19" spans="2:31" x14ac:dyDescent="0.25">
      <c r="C19" s="6" t="s">
        <v>27</v>
      </c>
      <c r="D19" s="22">
        <f>INT(F19)</f>
        <v>17</v>
      </c>
      <c r="E19" s="23">
        <f>(F19-D19)*60</f>
        <v>9.1305317324182766</v>
      </c>
      <c r="F19" s="4">
        <f>F5-F8</f>
        <v>17.152175528873638</v>
      </c>
      <c r="G19">
        <f t="shared" si="12"/>
        <v>0.29936193685884471</v>
      </c>
      <c r="U19" s="6" t="s">
        <v>28</v>
      </c>
      <c r="V19" s="22">
        <f>INT(X19)</f>
        <v>24</v>
      </c>
      <c r="W19" s="23">
        <f>(X19-V19)*60</f>
        <v>11.482857142854002</v>
      </c>
      <c r="X19" s="4">
        <f>X5-X8</f>
        <v>24.1913809523809</v>
      </c>
      <c r="Y19">
        <f t="shared" si="13"/>
        <v>0.42221924822328827</v>
      </c>
      <c r="AE19" s="12"/>
    </row>
    <row r="20" spans="2:31" x14ac:dyDescent="0.25">
      <c r="V20" s="8"/>
      <c r="W20" s="9"/>
      <c r="AE20" s="12"/>
    </row>
    <row r="21" spans="2:31" x14ac:dyDescent="0.25">
      <c r="E21" s="9">
        <v>62.6</v>
      </c>
      <c r="V21" s="8"/>
      <c r="W21" s="9">
        <v>62.6</v>
      </c>
      <c r="AE21" s="12"/>
    </row>
    <row r="22" spans="2:31" x14ac:dyDescent="0.25">
      <c r="E22" s="9">
        <f>(3.8+2.9)/2-15</f>
        <v>-11.65</v>
      </c>
      <c r="V22" s="8"/>
      <c r="W22" s="9">
        <f>(3.8+2.9)/2-15</f>
        <v>-11.65</v>
      </c>
      <c r="AE22" s="12"/>
    </row>
    <row r="23" spans="2:31" x14ac:dyDescent="0.25">
      <c r="C23" t="s">
        <v>29</v>
      </c>
      <c r="E23" s="9">
        <f>SUM(E21:E22)</f>
        <v>50.95</v>
      </c>
      <c r="F23" s="4">
        <f t="shared" ref="F23" si="14">D23+E23/60</f>
        <v>0.84916666666666674</v>
      </c>
      <c r="U23" t="s">
        <v>29</v>
      </c>
      <c r="V23" s="8"/>
      <c r="W23" s="9">
        <f>SUM(W21:W22)</f>
        <v>50.95</v>
      </c>
      <c r="X23" s="4">
        <f t="shared" ref="X23" si="15">V23+W23/60</f>
        <v>0.84916666666666674</v>
      </c>
      <c r="AE23" s="12"/>
    </row>
    <row r="24" spans="2:31" x14ac:dyDescent="0.25">
      <c r="C24" s="6" t="s">
        <v>30</v>
      </c>
      <c r="D24" s="22">
        <f>INT(F24)</f>
        <v>19</v>
      </c>
      <c r="E24" s="23">
        <f>(F24-D24)*60</f>
        <v>30.452105263157847</v>
      </c>
      <c r="F24" s="4">
        <f>F18+F23</f>
        <v>19.507535087719297</v>
      </c>
      <c r="G24">
        <f t="shared" ref="G24" si="16">RADIANS(F24)</f>
        <v>0.34047071622902259</v>
      </c>
      <c r="U24" s="6" t="s">
        <v>30</v>
      </c>
      <c r="V24" s="22">
        <f>INT(X24)</f>
        <v>19</v>
      </c>
      <c r="W24" s="23">
        <f>(X24-V24)*60</f>
        <v>8.0318181818181245</v>
      </c>
      <c r="X24" s="4">
        <f>X18+X23</f>
        <v>19.133863636363635</v>
      </c>
      <c r="Y24">
        <f t="shared" ref="Y24" si="17">RADIANS(X24)</f>
        <v>0.33394891908216046</v>
      </c>
      <c r="AE24" s="12"/>
    </row>
    <row r="25" spans="2:31" x14ac:dyDescent="0.25">
      <c r="V25" s="8"/>
      <c r="W25" s="9"/>
      <c r="AE25" s="12"/>
    </row>
    <row r="26" spans="2:31" x14ac:dyDescent="0.25">
      <c r="C26" t="s">
        <v>31</v>
      </c>
      <c r="E26" s="9">
        <v>-3.1</v>
      </c>
      <c r="F26" s="4">
        <f t="shared" ref="F26" si="18">D26+E26/60</f>
        <v>-5.1666666666666666E-2</v>
      </c>
      <c r="U26" t="s">
        <v>32</v>
      </c>
      <c r="V26" s="8"/>
      <c r="W26" s="9">
        <v>-2.1</v>
      </c>
      <c r="X26" s="4">
        <f t="shared" ref="X26" si="19">V26+W26/60</f>
        <v>-3.5000000000000003E-2</v>
      </c>
      <c r="AE26" s="12"/>
    </row>
    <row r="27" spans="2:31" x14ac:dyDescent="0.25">
      <c r="C27" s="6" t="s">
        <v>33</v>
      </c>
      <c r="D27" s="22">
        <f>INT(F27)</f>
        <v>17</v>
      </c>
      <c r="E27" s="23">
        <f>(F27-D27)*60</f>
        <v>6.030531732418325</v>
      </c>
      <c r="F27" s="4">
        <f>F19+F26</f>
        <v>17.100508862206972</v>
      </c>
      <c r="G27">
        <f t="shared" ref="G27" si="20">RADIANS(F27)</f>
        <v>0.29846018341198099</v>
      </c>
      <c r="U27" s="6" t="s">
        <v>34</v>
      </c>
      <c r="V27" s="22">
        <f>INT(X27)</f>
        <v>24</v>
      </c>
      <c r="W27" s="23">
        <f>(X27-V27)*60</f>
        <v>9.3828571428539931</v>
      </c>
      <c r="X27" s="4">
        <f>X19+X26</f>
        <v>24.1563809523809</v>
      </c>
      <c r="Y27">
        <f t="shared" ref="Y27" si="21">RADIANS(X27)</f>
        <v>0.42160838298509024</v>
      </c>
      <c r="AE27" s="12"/>
    </row>
    <row r="28" spans="2:31" x14ac:dyDescent="0.25">
      <c r="V28" s="8"/>
      <c r="W28" s="9"/>
      <c r="AE28" s="12"/>
    </row>
    <row r="29" spans="2:31" x14ac:dyDescent="0.25">
      <c r="B29" t="s">
        <v>35</v>
      </c>
      <c r="C29" t="s">
        <v>36</v>
      </c>
      <c r="G29">
        <f>COS(G24)*COS(G27)/COS(G18)/COS(G19)</f>
        <v>0.99516229584763394</v>
      </c>
      <c r="T29" t="s">
        <v>35</v>
      </c>
      <c r="U29" t="s">
        <v>36</v>
      </c>
      <c r="V29" s="8"/>
      <c r="W29" s="9"/>
      <c r="Y29">
        <f>COS(Y24)*COS(Y27)/COS(Y18)/COS(Y19)</f>
        <v>0.99526611274172883</v>
      </c>
      <c r="AE29" s="12"/>
    </row>
    <row r="30" spans="2:31" x14ac:dyDescent="0.25">
      <c r="C30" t="s">
        <v>37</v>
      </c>
      <c r="G30">
        <f>COS(G16)+COS(G18+G19)</f>
        <v>1.7846881377302433</v>
      </c>
      <c r="U30" t="s">
        <v>37</v>
      </c>
      <c r="V30" s="8"/>
      <c r="W30" s="9"/>
      <c r="Y30">
        <f>COS(Y16)+COS(Y18+Y19)</f>
        <v>0.99002567742573411</v>
      </c>
      <c r="AE30" s="12"/>
    </row>
    <row r="31" spans="2:31" x14ac:dyDescent="0.25">
      <c r="C31" t="s">
        <v>38</v>
      </c>
      <c r="G31">
        <f>COS(G24+G27)</f>
        <v>0.80273376123553242</v>
      </c>
      <c r="U31" t="s">
        <v>38</v>
      </c>
      <c r="V31" s="8"/>
      <c r="W31" s="9"/>
      <c r="Y31">
        <f>COS(Y24+Y27)</f>
        <v>0.7278895173154285</v>
      </c>
      <c r="AE31" s="12"/>
    </row>
    <row r="32" spans="2:31" ht="15.75" thickBot="1" x14ac:dyDescent="0.3">
      <c r="V32" s="8"/>
      <c r="W32" s="9"/>
      <c r="AE32" s="12"/>
    </row>
    <row r="33" spans="1:31" ht="15.75" thickBot="1" x14ac:dyDescent="0.3">
      <c r="C33" s="24" t="s">
        <v>39</v>
      </c>
      <c r="D33" s="25">
        <f>INT(F33)</f>
        <v>13</v>
      </c>
      <c r="E33" s="17">
        <f>(F33-D33)*60</f>
        <v>15.879583508648523</v>
      </c>
      <c r="F33" s="13">
        <f>DEGREES(G33)</f>
        <v>13.264659725144142</v>
      </c>
      <c r="G33" s="26">
        <f>ACOS(G29*G30-G31)</f>
        <v>0.23151198636045134</v>
      </c>
      <c r="U33" s="24" t="s">
        <v>39</v>
      </c>
      <c r="V33" s="25">
        <f>INT(X33)</f>
        <v>75</v>
      </c>
      <c r="W33" s="17">
        <f>(X33-V33)*60</f>
        <v>4.8733458348561953</v>
      </c>
      <c r="X33" s="13">
        <f>DEGREES(Y33)</f>
        <v>75.081222430580937</v>
      </c>
      <c r="Y33" s="26">
        <f>ACOS(Y29*Y30-Y31)</f>
        <v>1.3104145378358569</v>
      </c>
      <c r="AE33" s="12"/>
    </row>
    <row r="34" spans="1:31" x14ac:dyDescent="0.25">
      <c r="C34" s="6"/>
      <c r="D34" s="22"/>
      <c r="E34" s="23"/>
      <c r="G34" s="26"/>
      <c r="U34" s="6"/>
      <c r="V34" s="22"/>
      <c r="W34" s="23"/>
      <c r="Y34" s="26"/>
      <c r="AE34" s="12"/>
    </row>
    <row r="35" spans="1:31" x14ac:dyDescent="0.25">
      <c r="V35" s="8"/>
      <c r="W35" s="9"/>
      <c r="AE35" s="12"/>
    </row>
    <row r="36" spans="1:31" x14ac:dyDescent="0.25">
      <c r="A36" s="27" t="s">
        <v>40</v>
      </c>
      <c r="B36" s="28"/>
      <c r="C36" s="29">
        <v>0.70833333333333337</v>
      </c>
      <c r="D36" s="30">
        <v>12</v>
      </c>
      <c r="E36" s="31">
        <v>55.2</v>
      </c>
      <c r="F36" s="4">
        <f>D36+E36/60</f>
        <v>12.92</v>
      </c>
      <c r="S36" s="27" t="s">
        <v>40</v>
      </c>
      <c r="T36" s="28"/>
      <c r="U36" s="29">
        <v>0.70833333333333337</v>
      </c>
      <c r="V36" s="30">
        <v>75</v>
      </c>
      <c r="W36" s="32">
        <v>32</v>
      </c>
      <c r="X36" s="4">
        <f>V36+W36/60</f>
        <v>75.533333333333331</v>
      </c>
      <c r="AE36" s="12"/>
    </row>
    <row r="37" spans="1:31" x14ac:dyDescent="0.25">
      <c r="A37" s="33"/>
      <c r="B37" s="34"/>
      <c r="C37" s="35">
        <v>0.75</v>
      </c>
      <c r="D37" s="36">
        <v>13</v>
      </c>
      <c r="E37" s="37">
        <v>26.8</v>
      </c>
      <c r="F37" s="4">
        <f>D37+E37/60</f>
        <v>13.446666666666667</v>
      </c>
      <c r="S37" s="33"/>
      <c r="T37" s="34"/>
      <c r="U37" s="35">
        <v>0.75</v>
      </c>
      <c r="V37" s="36">
        <v>74</v>
      </c>
      <c r="W37" s="38">
        <v>59.1</v>
      </c>
      <c r="X37" s="4">
        <f>V37+W37/60</f>
        <v>74.984999999999999</v>
      </c>
      <c r="AE37" s="12"/>
    </row>
    <row r="38" spans="1:31" x14ac:dyDescent="0.25">
      <c r="C38" t="s">
        <v>41</v>
      </c>
      <c r="E38" s="9">
        <f>F38*60</f>
        <v>31.600000000000037</v>
      </c>
      <c r="F38" s="4">
        <f>F37-F36</f>
        <v>0.52666666666666728</v>
      </c>
      <c r="U38" t="s">
        <v>41</v>
      </c>
      <c r="V38" s="8"/>
      <c r="W38" s="9">
        <f>X38*60</f>
        <v>-32.89999999999992</v>
      </c>
      <c r="X38" s="4">
        <f>X37-X36</f>
        <v>-0.54833333333333201</v>
      </c>
      <c r="AE38" s="12"/>
    </row>
    <row r="39" spans="1:31" x14ac:dyDescent="0.25">
      <c r="C39" t="s">
        <v>42</v>
      </c>
      <c r="E39" s="9">
        <f>F39*60</f>
        <v>20.679583508648527</v>
      </c>
      <c r="F39" s="4">
        <f>F33-F36</f>
        <v>0.34465972514414212</v>
      </c>
      <c r="U39" t="s">
        <v>42</v>
      </c>
      <c r="V39" s="8"/>
      <c r="W39" s="9">
        <f>X39*60</f>
        <v>-27.126654165143691</v>
      </c>
      <c r="X39" s="4">
        <f>X33-X36</f>
        <v>-0.45211090275239485</v>
      </c>
      <c r="AE39" s="12"/>
    </row>
    <row r="40" spans="1:31" x14ac:dyDescent="0.25">
      <c r="V40" s="8"/>
      <c r="W40" s="9"/>
      <c r="AE40" s="12"/>
    </row>
    <row r="41" spans="1:31" x14ac:dyDescent="0.25">
      <c r="C41" t="s">
        <v>43</v>
      </c>
      <c r="E41" s="39">
        <f>E39/E38*60</f>
        <v>39.265031978446522</v>
      </c>
      <c r="G41" t="s">
        <v>44</v>
      </c>
      <c r="U41" t="s">
        <v>43</v>
      </c>
      <c r="V41" s="8"/>
      <c r="W41" s="39">
        <f>W39/W38*60</f>
        <v>49.471101820930862</v>
      </c>
      <c r="Y41" t="s">
        <v>44</v>
      </c>
      <c r="AE41" s="12"/>
    </row>
    <row r="42" spans="1:31" ht="15.75" thickBot="1" x14ac:dyDescent="0.3">
      <c r="V42" s="8"/>
      <c r="W42" s="9"/>
      <c r="AE42" s="12"/>
    </row>
    <row r="43" spans="1:31" ht="15.75" thickBot="1" x14ac:dyDescent="0.3">
      <c r="A43" s="24" t="s">
        <v>45</v>
      </c>
      <c r="B43" s="40"/>
      <c r="C43" s="41">
        <f>C36+E41/60/24</f>
        <v>0.73560071665169902</v>
      </c>
      <c r="S43" s="24" t="s">
        <v>45</v>
      </c>
      <c r="T43" s="40"/>
      <c r="U43" s="41">
        <f>U36+W41/60/24</f>
        <v>0.74268826515342423</v>
      </c>
      <c r="V43" s="8"/>
      <c r="W43" s="9"/>
      <c r="AE43" s="12"/>
    </row>
    <row r="44" spans="1:31" x14ac:dyDescent="0.25">
      <c r="C44" s="18"/>
      <c r="U44" s="18"/>
      <c r="V44" s="8"/>
      <c r="W44" s="9"/>
      <c r="AE44" s="12"/>
    </row>
    <row r="45" spans="1:31" x14ac:dyDescent="0.25">
      <c r="A45" s="6" t="s">
        <v>46</v>
      </c>
      <c r="B45" s="6"/>
      <c r="C45" s="18">
        <f>ABS(J13-C43)</f>
        <v>1.0196537186714094E-3</v>
      </c>
      <c r="D45" s="8" t="str">
        <f>IF(J13&gt;C43,"fast","slow")</f>
        <v>fast</v>
      </c>
      <c r="S45" s="6" t="s">
        <v>46</v>
      </c>
      <c r="T45" s="6"/>
      <c r="U45" s="18">
        <f>ABS(AB13-U43)</f>
        <v>1.6566422539830983E-3</v>
      </c>
      <c r="V45" s="8" t="str">
        <f>IF(AB13&gt;U43,"fast","slow")</f>
        <v>fast</v>
      </c>
      <c r="W45" s="9"/>
      <c r="AE45" s="12"/>
    </row>
    <row r="46" spans="1:31" ht="15.75" thickBot="1" x14ac:dyDescent="0.3"/>
    <row r="47" spans="1:31" x14ac:dyDescent="0.25">
      <c r="A47" s="42"/>
      <c r="B47" s="43"/>
      <c r="C47" s="43"/>
      <c r="D47" s="44"/>
      <c r="E47" s="45"/>
      <c r="F47" s="46"/>
      <c r="G47" s="43"/>
      <c r="H47" s="43"/>
      <c r="I47" s="43"/>
      <c r="J47" s="43"/>
      <c r="K47" s="43"/>
      <c r="L47" s="43"/>
      <c r="M47" s="47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6"/>
      <c r="Y47" s="48"/>
    </row>
    <row r="48" spans="1:31" x14ac:dyDescent="0.25">
      <c r="A48" s="49"/>
      <c r="F48" s="13"/>
      <c r="H48" t="s">
        <v>49</v>
      </c>
      <c r="M48" s="18">
        <f>AVERAGE(C45,U45)</f>
        <v>1.3381479863272538E-3</v>
      </c>
      <c r="N48" t="s">
        <v>47</v>
      </c>
      <c r="R48"/>
      <c r="X48" s="13"/>
      <c r="Y48" s="50"/>
    </row>
    <row r="49" spans="1:25" x14ac:dyDescent="0.25">
      <c r="A49" s="49"/>
      <c r="F49" s="13"/>
      <c r="R49"/>
      <c r="X49" s="13"/>
      <c r="Y49" s="50"/>
    </row>
    <row r="50" spans="1:25" x14ac:dyDescent="0.25">
      <c r="A50" s="49"/>
      <c r="F50" s="13"/>
      <c r="H50" t="s">
        <v>48</v>
      </c>
      <c r="M50" s="18">
        <v>1.3310185185185185E-3</v>
      </c>
      <c r="N50" t="s">
        <v>47</v>
      </c>
      <c r="R50"/>
      <c r="X50" s="13"/>
      <c r="Y50" s="50"/>
    </row>
    <row r="51" spans="1:25" ht="15.75" thickBot="1" x14ac:dyDescent="0.3">
      <c r="A51" s="51"/>
      <c r="B51" s="52"/>
      <c r="C51" s="52"/>
      <c r="D51" s="53"/>
      <c r="E51" s="54"/>
      <c r="F51" s="55"/>
      <c r="G51" s="52"/>
      <c r="H51" s="52"/>
      <c r="I51" s="52"/>
      <c r="J51" s="52"/>
      <c r="K51" s="52"/>
      <c r="L51" s="52"/>
      <c r="M51" s="56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5"/>
      <c r="Y51" s="57"/>
    </row>
  </sheetData>
  <mergeCells count="1">
    <mergeCell ref="V2:W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2020.10.23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2020-10-25T09:53:42Z</dcterms:created>
  <dcterms:modified xsi:type="dcterms:W3CDTF">2020-10-25T09:53:53Z</dcterms:modified>
</cp:coreProperties>
</file>