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20" windowWidth="18700" windowHeight="912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<sst xmlns="http://schemas.openxmlformats.org/spreadsheetml/2006/main" count="217" uniqueCount="136">
  <si>
    <t>Year</t>
  </si>
  <si>
    <t>Month</t>
  </si>
  <si>
    <t>Day</t>
  </si>
  <si>
    <t>Hours</t>
  </si>
  <si>
    <t>Minutes</t>
  </si>
  <si>
    <t>Seconds</t>
  </si>
  <si>
    <t>Longitude</t>
  </si>
  <si>
    <t>Altitude (Ho)</t>
  </si>
  <si>
    <t>Latitude</t>
  </si>
  <si>
    <t>Degrees</t>
  </si>
  <si>
    <t>Azimuth</t>
  </si>
  <si>
    <t>#########</t>
  </si>
  <si>
    <t>GHA Aries</t>
  </si>
  <si>
    <t>SHA Polaris</t>
  </si>
  <si>
    <t>GHA Polaris</t>
  </si>
  <si>
    <t>LHA Polaris</t>
  </si>
  <si>
    <t>Dec Polaris</t>
  </si>
  <si>
    <t>Z rad</t>
  </si>
  <si>
    <t>cos Z</t>
  </si>
  <si>
    <t>Z deg</t>
  </si>
  <si>
    <t>sin Z</t>
  </si>
  <si>
    <t>sin Lat num p</t>
  </si>
  <si>
    <t>sin Lat num n</t>
  </si>
  <si>
    <t>sin Lat den</t>
  </si>
  <si>
    <t>sin Lat</t>
  </si>
  <si>
    <t>Lat rad</t>
  </si>
  <si>
    <t>Lat deg</t>
  </si>
  <si>
    <t>Polaris</t>
  </si>
  <si>
    <t>SHA</t>
  </si>
  <si>
    <t>Declination</t>
  </si>
  <si>
    <t>Day Fraction</t>
  </si>
  <si>
    <t>a</t>
  </si>
  <si>
    <t>b</t>
  </si>
  <si>
    <t>JD</t>
  </si>
  <si>
    <t>T0</t>
  </si>
  <si>
    <t>Delta T</t>
  </si>
  <si>
    <t>DayF+DeltaT</t>
  </si>
  <si>
    <t>JDE</t>
  </si>
  <si>
    <t>TAU</t>
  </si>
  <si>
    <t>T</t>
  </si>
  <si>
    <t>NutPSI Rad</t>
  </si>
  <si>
    <t>l0</t>
  </si>
  <si>
    <t>lp</t>
  </si>
  <si>
    <t>om</t>
  </si>
  <si>
    <t>dp</t>
  </si>
  <si>
    <t>NutPSI Deg</t>
  </si>
  <si>
    <t>NutEPS Rad</t>
  </si>
  <si>
    <t>Deps</t>
  </si>
  <si>
    <t>Eps0 Rad</t>
  </si>
  <si>
    <t>Eps Rad</t>
  </si>
  <si>
    <t>de</t>
  </si>
  <si>
    <t>NutEPS Deg</t>
  </si>
  <si>
    <t>g</t>
  </si>
  <si>
    <t>GAST Deg</t>
  </si>
  <si>
    <t>##########</t>
  </si>
  <si>
    <t>Precession</t>
  </si>
  <si>
    <t>Zeta Deg</t>
  </si>
  <si>
    <t>Zeta Rad</t>
  </si>
  <si>
    <t>Z Deg</t>
  </si>
  <si>
    <t>Theta Deg</t>
  </si>
  <si>
    <t>Theta Rad</t>
  </si>
  <si>
    <t>Sun longitude</t>
  </si>
  <si>
    <t>L0</t>
  </si>
  <si>
    <t>M Deg</t>
  </si>
  <si>
    <t>M Rad</t>
  </si>
  <si>
    <t>c1</t>
  </si>
  <si>
    <t>c2</t>
  </si>
  <si>
    <t>c3</t>
  </si>
  <si>
    <t>C</t>
  </si>
  <si>
    <t>L Sun</t>
  </si>
  <si>
    <t>L Sun Deg</t>
  </si>
  <si>
    <t>L Sun Rad</t>
  </si>
  <si>
    <t>Aberration</t>
  </si>
  <si>
    <t>exc</t>
  </si>
  <si>
    <t>p</t>
  </si>
  <si>
    <t>p Deg</t>
  </si>
  <si>
    <t>p Rad</t>
  </si>
  <si>
    <t>Y =</t>
  </si>
  <si>
    <t>Year &lt;= -500</t>
  </si>
  <si>
    <t>2150 &lt; Year</t>
  </si>
  <si>
    <t>u =</t>
  </si>
  <si>
    <t>dT =</t>
  </si>
  <si>
    <t>-500 &lt; Year</t>
  </si>
  <si>
    <t>Year &lt;= 500</t>
  </si>
  <si>
    <t>500 &lt; Year</t>
  </si>
  <si>
    <t>Year &lt;= 1600</t>
  </si>
  <si>
    <t>1600 &lt; Year</t>
  </si>
  <si>
    <t>Year &lt;= 1700</t>
  </si>
  <si>
    <t>t =</t>
  </si>
  <si>
    <t>1700 &lt; Year</t>
  </si>
  <si>
    <t>Year &lt;= 1800</t>
  </si>
  <si>
    <t>1800 &lt; Year</t>
  </si>
  <si>
    <t>Year &lt;= 1860</t>
  </si>
  <si>
    <t>1860 &lt; Year</t>
  </si>
  <si>
    <t>Year &lt;= 1900</t>
  </si>
  <si>
    <t>1900 &lt; Year</t>
  </si>
  <si>
    <t>Year &lt;= 1920</t>
  </si>
  <si>
    <t>1920 &lt; Year</t>
  </si>
  <si>
    <t>Year &lt;= 1941</t>
  </si>
  <si>
    <t>1941 &lt; Year</t>
  </si>
  <si>
    <t>Year &lt;= 1961</t>
  </si>
  <si>
    <t>1961 &lt; Year</t>
  </si>
  <si>
    <t>Year &lt;= 1986</t>
  </si>
  <si>
    <t>1986 &lt; Year</t>
  </si>
  <si>
    <t>Year &lt;= 2005</t>
  </si>
  <si>
    <t>2005 &lt; Year</t>
  </si>
  <si>
    <t>Year &lt;= 2050</t>
  </si>
  <si>
    <t>2050 &lt; Year</t>
  </si>
  <si>
    <t>Year &lt;= 2150</t>
  </si>
  <si>
    <t>Epoch</t>
  </si>
  <si>
    <t>J2000.0</t>
  </si>
  <si>
    <t>Proper</t>
  </si>
  <si>
    <t>motion</t>
  </si>
  <si>
    <t>kappa Rad</t>
  </si>
  <si>
    <t>Equinox</t>
  </si>
  <si>
    <t>reference</t>
  </si>
  <si>
    <t>equinox</t>
  </si>
  <si>
    <t>precession</t>
  </si>
  <si>
    <t>current</t>
  </si>
  <si>
    <t>epoch</t>
  </si>
  <si>
    <t>nutation</t>
  </si>
  <si>
    <t>aberration</t>
  </si>
  <si>
    <t>final</t>
  </si>
  <si>
    <t>coordinates</t>
  </si>
  <si>
    <t>Right Asc</t>
  </si>
  <si>
    <t>mu_Rasc</t>
  </si>
  <si>
    <t>mu_Dec</t>
  </si>
  <si>
    <t>a, b, c</t>
  </si>
  <si>
    <t>RA Rad</t>
  </si>
  <si>
    <t>d RA Rad</t>
  </si>
  <si>
    <t>ap, an</t>
  </si>
  <si>
    <t>dp, dn</t>
  </si>
  <si>
    <t>RA_w_mu</t>
  </si>
  <si>
    <t>Dec_w_mu</t>
  </si>
  <si>
    <t>Dec Rad</t>
  </si>
  <si>
    <t>d Dec Rad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</si>
</sst>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"/>
    <numFmt numFmtId="167" formatCode="00.0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167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2" fillId="34" borderId="10" xfId="0" applyNumberFormat="1" applyFont="1" applyFill="1" applyBorder="1" applyAlignment="1" applyProtection="1">
      <alignment/>
      <protection locked="0"/>
    </xf>
    <xf numFmtId="167" fontId="2" fillId="35" borderId="10" xfId="0" applyNumberFormat="1" applyFont="1" applyFill="1" applyBorder="1" applyAlignment="1" applyProtection="1">
      <alignment horizontal="right"/>
      <protection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166" fontId="2" fillId="34" borderId="10" xfId="0" applyNumberFormat="1" applyFont="1" applyFill="1" applyBorder="1" applyAlignment="1" applyProtection="1">
      <alignment horizontal="left"/>
      <protection locked="0"/>
    </xf>
    <xf numFmtId="1" fontId="0" fillId="36" borderId="10" xfId="0" applyNumberFormat="1" applyFill="1" applyBorder="1" applyAlignment="1">
      <alignment horizontal="right"/>
    </xf>
    <xf numFmtId="167" fontId="0" fillId="36" borderId="10" xfId="0" applyNumberFormat="1" applyFill="1" applyBorder="1" applyAlignment="1">
      <alignment horizontal="right"/>
    </xf>
    <xf numFmtId="165" fontId="0" fillId="36" borderId="10" xfId="0" applyNumberFormat="1" applyFill="1" applyBorder="1" applyAlignment="1">
      <alignment horizontal="right"/>
    </xf>
    <xf numFmtId="164" fontId="0" fillId="37" borderId="10" xfId="0" applyNumberFormat="1" applyFill="1" applyBorder="1" applyAlignment="1">
      <alignment horizontal="left"/>
    </xf>
    <xf numFmtId="167" fontId="0" fillId="37" borderId="10" xfId="0" applyNumberFormat="1" applyFill="1" applyBorder="1" applyAlignment="1">
      <alignment horizontal="left"/>
    </xf>
    <xf numFmtId="0" fontId="0" fillId="37" borderId="10" xfId="0" applyNumberFormat="1" applyFill="1" applyBorder="1" applyAlignment="1">
      <alignment horizontal="right"/>
    </xf>
    <xf numFmtId="0" fontId="0" fillId="37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150" zoomScaleNormal="150" workbookViewId="0" topLeftCell="A1">
      <selection activeCell="A5" sqref="A5"/>
    </sheetView>
  </sheetViews>
  <sheetFormatPr defaultColWidth="11.00390625" defaultRowHeight="12.75"/>
  <cols>
    <col min="1" max="5" width="11.3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J1" t="s">
        <v>35</v>
      </c>
    </row>
    <row r="2" spans="1:6" ht="12.75">
      <c r="A2" s="27">
        <v>-6000</v>
      </c>
      <c r="B2" s="28">
        <v>1</v>
      </c>
      <c r="C2" s="28">
        <v>1</v>
      </c>
      <c r="D2" s="28">
        <v>0</v>
      </c>
      <c r="E2" s="28">
        <v>0</v>
      </c>
      <c r="F2" s="28">
        <v>0</v>
      </c>
    </row>
    <row r="3" spans="10:11" ht="12.75">
      <c r="J3" t="s">
        <v>77</v>
      </c>
      <c r="K3">
        <f>A2+(B2-0.5)/12</f>
        <v>-5999.958333333333</v>
      </c>
    </row>
    <row r="4" spans="1:6" ht="12.75">
      <c r="A4" s="2" t="s">
        <v>6</v>
      </c>
      <c r="B4" s="2" t="s">
        <v>7</v>
      </c>
      <c r="C4" s="3" t="s">
        <v>8</v>
      </c>
      <c r="D4" s="3" t="s">
        <v>9</v>
      </c>
      <c r="E4" s="3" t="s">
        <v>4</v>
      </c>
      <c r="F4" s="3" t="s">
        <v>10</v>
      </c>
    </row>
    <row r="5" spans="1:12" ht="12.75">
      <c r="A5" s="25">
        <v>-37.233333333333334</v>
      </c>
      <c r="B5" s="25">
        <v>49.526666666666664</v>
      </c>
      <c r="D5" s="29">
        <f>TRUNC(F21)</f>
        <v>88</v>
      </c>
      <c r="E5" s="30">
        <f>ABS(F21-D5)*60</f>
        <v>58.718609394555585</v>
      </c>
      <c r="F5" s="31">
        <f>IF(E18&lt;=0,-E18,360-E18)</f>
        <v>296.04536443649454</v>
      </c>
      <c r="J5" s="8" t="s">
        <v>78</v>
      </c>
      <c r="K5" s="8" t="s">
        <v>79</v>
      </c>
      <c r="L5" s="12" t="b">
        <f>OR(A2&lt;=-500,A2&gt;2150)</f>
        <v>1</v>
      </c>
    </row>
    <row r="6" spans="1:12" s="19" customFormat="1" ht="12.75">
      <c r="A6" s="26">
        <f>ABS(A5-TRUNC(A5))*60</f>
        <v>14.000000000000057</v>
      </c>
      <c r="B6" s="26">
        <f>ABS(B5-TRUNC(B5))*60</f>
        <v>31.599999999999824</v>
      </c>
      <c r="D6" s="20"/>
      <c r="E6" s="21"/>
      <c r="F6" s="22"/>
      <c r="J6" s="23"/>
      <c r="K6" s="23"/>
      <c r="L6" s="24"/>
    </row>
    <row r="7" spans="10:11" ht="12.75">
      <c r="J7" t="s">
        <v>80</v>
      </c>
      <c r="K7">
        <f>(A2-1820)/100</f>
        <v>-78.2</v>
      </c>
    </row>
    <row r="8" spans="1:12" ht="12.75">
      <c r="A8" s="6" t="s">
        <v>27</v>
      </c>
      <c r="J8" t="s">
        <v>81</v>
      </c>
      <c r="K8">
        <f>-20+32*K7*K7</f>
        <v>195667.68000000002</v>
      </c>
      <c r="L8">
        <f>K8*L5</f>
        <v>195667.68000000002</v>
      </c>
    </row>
    <row r="9" spans="1:6" ht="12.75">
      <c r="A9" s="7" t="s">
        <v>28</v>
      </c>
      <c r="B9" s="7" t="s">
        <v>9</v>
      </c>
      <c r="C9" s="7" t="s">
        <v>4</v>
      </c>
      <c r="D9" s="7" t="s">
        <v>29</v>
      </c>
      <c r="E9" s="7" t="s">
        <v>9</v>
      </c>
      <c r="F9" s="7" t="s">
        <v>4</v>
      </c>
    </row>
    <row r="10" spans="1:12" ht="12.75">
      <c r="A10" s="8"/>
      <c r="B10" s="32">
        <f>TRUNC(B15)</f>
        <v>52</v>
      </c>
      <c r="C10" s="33">
        <f>ABS(B15-B10)*60</f>
        <v>11.693123862718267</v>
      </c>
      <c r="D10" s="34" t="str">
        <f>IF(F15&gt;=0,"N","S")</f>
        <v>N</v>
      </c>
      <c r="E10" s="35">
        <f>ABS(TRUNC(F15))</f>
        <v>49</v>
      </c>
      <c r="F10" s="33">
        <f>ABS(F15-TRUNC(F15))*60</f>
        <v>57.98498583387257</v>
      </c>
      <c r="J10" s="13" t="s">
        <v>82</v>
      </c>
      <c r="K10" t="s">
        <v>83</v>
      </c>
      <c r="L10" t="b">
        <f>AND(-500&lt;A2,A2&lt;=500)</f>
        <v>0</v>
      </c>
    </row>
    <row r="11" spans="10:12" ht="12.75">
      <c r="J11" s="8" t="s">
        <v>80</v>
      </c>
      <c r="K11" s="12">
        <f>K3/100</f>
        <v>-59.999583333333334</v>
      </c>
      <c r="L11" s="12"/>
    </row>
    <row r="12" spans="1:24" ht="12.75">
      <c r="A12" s="4" t="s">
        <v>11</v>
      </c>
      <c r="B12" s="4" t="s">
        <v>11</v>
      </c>
      <c r="C12" s="4" t="s">
        <v>11</v>
      </c>
      <c r="D12" s="4" t="s">
        <v>11</v>
      </c>
      <c r="E12" s="4" t="s">
        <v>11</v>
      </c>
      <c r="F12" s="4" t="s">
        <v>11</v>
      </c>
      <c r="J12" t="s">
        <v>81</v>
      </c>
      <c r="K12">
        <f>10583.6+K11*(-1014.41+K11*(33.78311+K11*(-5.952053+K11*(-0.1798452+K11*(0.022174192+0.0090316521*K11)))))</f>
        <v>403269103.04612654</v>
      </c>
      <c r="L12">
        <f>K12*L10</f>
        <v>0</v>
      </c>
      <c r="M12" s="14" t="s">
        <v>109</v>
      </c>
      <c r="N12" s="14" t="s">
        <v>110</v>
      </c>
      <c r="O12" s="14" t="s">
        <v>111</v>
      </c>
      <c r="P12" s="14" t="s">
        <v>112</v>
      </c>
      <c r="Q12" s="14"/>
      <c r="R12" s="14"/>
      <c r="S12" s="14"/>
      <c r="T12" s="14"/>
      <c r="U12" s="14"/>
      <c r="V12" s="14" t="s">
        <v>113</v>
      </c>
      <c r="W12" s="14"/>
      <c r="X12" s="14"/>
    </row>
    <row r="13" spans="13:24" ht="12.75">
      <c r="M13" t="s">
        <v>114</v>
      </c>
      <c r="N13" t="s">
        <v>110</v>
      </c>
      <c r="O13" t="s">
        <v>115</v>
      </c>
      <c r="P13" t="s">
        <v>116</v>
      </c>
      <c r="Q13" t="s">
        <v>117</v>
      </c>
      <c r="R13" t="s">
        <v>118</v>
      </c>
      <c r="S13" t="s">
        <v>119</v>
      </c>
      <c r="T13" t="s">
        <v>120</v>
      </c>
      <c r="U13" t="s">
        <v>121</v>
      </c>
      <c r="V13" s="15">
        <v>9.93650849745E-05</v>
      </c>
      <c r="W13" t="s">
        <v>122</v>
      </c>
      <c r="X13" t="s">
        <v>123</v>
      </c>
    </row>
    <row r="14" spans="1:24" ht="12.75">
      <c r="A14" t="s">
        <v>12</v>
      </c>
      <c r="B14" t="s">
        <v>13</v>
      </c>
      <c r="C14" t="s">
        <v>14</v>
      </c>
      <c r="D14" t="s">
        <v>14</v>
      </c>
      <c r="E14" t="s">
        <v>15</v>
      </c>
      <c r="F14" t="s">
        <v>16</v>
      </c>
      <c r="J14" t="s">
        <v>84</v>
      </c>
      <c r="K14" t="s">
        <v>85</v>
      </c>
      <c r="L14" t="b">
        <f>AND(500&lt;A2,A2&lt;=1600)</f>
        <v>0</v>
      </c>
      <c r="M14" s="9" t="s">
        <v>11</v>
      </c>
      <c r="N14" s="9" t="s">
        <v>27</v>
      </c>
      <c r="O14" s="9" t="s">
        <v>11</v>
      </c>
      <c r="P14" s="9" t="s">
        <v>11</v>
      </c>
      <c r="Q14" s="9" t="s">
        <v>11</v>
      </c>
      <c r="R14" s="9" t="s">
        <v>11</v>
      </c>
      <c r="S14" s="9" t="s">
        <v>11</v>
      </c>
      <c r="T14" s="9" t="s">
        <v>27</v>
      </c>
      <c r="U14" s="9" t="s">
        <v>11</v>
      </c>
      <c r="V14" s="9" t="s">
        <v>11</v>
      </c>
      <c r="W14" s="9" t="s">
        <v>11</v>
      </c>
      <c r="X14" s="9" t="s">
        <v>11</v>
      </c>
    </row>
    <row r="15" spans="1:24" ht="12.75">
      <c r="A15" s="5">
        <f>C38</f>
        <v>99.99496233463287</v>
      </c>
      <c r="B15" s="5">
        <f>W19</f>
        <v>52.19488539771197</v>
      </c>
      <c r="C15" s="5">
        <f>A15+B15</f>
        <v>152.18984773234484</v>
      </c>
      <c r="D15" s="5">
        <f>C15-360*INT(C15/360)</f>
        <v>152.18984773234484</v>
      </c>
      <c r="E15" s="5">
        <f>D15+A5</f>
        <v>114.95651439901151</v>
      </c>
      <c r="F15" s="5">
        <f>X16</f>
        <v>49.96641643056454</v>
      </c>
      <c r="J15" t="s">
        <v>80</v>
      </c>
      <c r="K15">
        <f>(K3-1000)/100</f>
        <v>-69.99958333333333</v>
      </c>
      <c r="M15" s="16" t="s">
        <v>124</v>
      </c>
      <c r="N15" s="16" t="s">
        <v>29</v>
      </c>
      <c r="O15" s="16" t="s">
        <v>125</v>
      </c>
      <c r="P15" s="16" t="s">
        <v>126</v>
      </c>
      <c r="Q15" t="s">
        <v>127</v>
      </c>
      <c r="R15" t="s">
        <v>124</v>
      </c>
      <c r="S15" t="s">
        <v>128</v>
      </c>
      <c r="T15" t="s">
        <v>129</v>
      </c>
      <c r="U15" t="s">
        <v>130</v>
      </c>
      <c r="V15" t="s">
        <v>131</v>
      </c>
      <c r="W15" t="s">
        <v>124</v>
      </c>
      <c r="X15" t="s">
        <v>29</v>
      </c>
    </row>
    <row r="16" spans="5:24" ht="12.75">
      <c r="E16">
        <f>RADIANS(E15)</f>
        <v>2.0063696728790212</v>
      </c>
      <c r="F16">
        <f>RADIANS(F15)</f>
        <v>0.872078482135944</v>
      </c>
      <c r="J16" t="s">
        <v>81</v>
      </c>
      <c r="K16">
        <f>1574.2+K15*(-556.01+K15*(71.23472+K15*(0.319781+K15*(-0.8503463+K15*(-0.005050998+0.0083572073*K15)))))</f>
        <v>971534456.1148692</v>
      </c>
      <c r="L16">
        <f>K16*L14</f>
        <v>0</v>
      </c>
      <c r="M16" s="16">
        <v>2</v>
      </c>
      <c r="N16" s="16">
        <v>89</v>
      </c>
      <c r="O16" s="16">
        <v>0.04422</v>
      </c>
      <c r="P16" s="16">
        <v>-0.01175</v>
      </c>
      <c r="Q16">
        <f>COS(P19)*SIN(O19+$B$43)</f>
        <v>-0.003292726181503635</v>
      </c>
      <c r="R16">
        <f>DEGREES(ATAN2(Q17,Q16))+$C$43</f>
        <v>-52.1841999975973</v>
      </c>
      <c r="S16">
        <f>RADIANS(R17)</f>
        <v>5.372399199702296</v>
      </c>
      <c r="T16">
        <f>(COS($D$35)+SIN($D$35)*SIN(S16)*TAN(S19))*$A$32-COS(S16)*TAN(S19)*$A$35</f>
        <v>-5.053495023843403E-05</v>
      </c>
      <c r="U16">
        <f>COS(S16)*COS($D$56)*COS($D$35)+SIN(S16)*SIN($D$56)</f>
        <v>0.8906627637717577</v>
      </c>
      <c r="V16">
        <f>COS($D$56)*COS($D$35)*(TAN($D$35)*COS(S19)-SIN(S16)*SIN(S19))+COS(S16)*SIN(S19)*SIN($D$56)</f>
        <v>0.4475644762850333</v>
      </c>
      <c r="W16">
        <f>DEGREES(U19+T16+S16)</f>
        <v>307.80511460228803</v>
      </c>
      <c r="X16">
        <f>DEGREES(V19+T19+S19)</f>
        <v>49.96641643056454</v>
      </c>
    </row>
    <row r="17" spans="1:22" ht="12.75">
      <c r="A17" t="s">
        <v>7</v>
      </c>
      <c r="B17" t="s">
        <v>20</v>
      </c>
      <c r="C17" t="s">
        <v>17</v>
      </c>
      <c r="D17" t="s">
        <v>18</v>
      </c>
      <c r="E17" t="s">
        <v>19</v>
      </c>
      <c r="M17" s="16">
        <v>31</v>
      </c>
      <c r="N17" s="16">
        <v>15</v>
      </c>
      <c r="O17" t="s">
        <v>132</v>
      </c>
      <c r="P17" t="s">
        <v>133</v>
      </c>
      <c r="Q17">
        <f>COS($F$43)*COS(P19)*COS(O19+$B$43)-SIN($F$43)*SIN(P19)</f>
        <v>0.6432225920276861</v>
      </c>
      <c r="R17">
        <f>R16-360*INT(R16/360)</f>
        <v>307.8158000024027</v>
      </c>
      <c r="U17">
        <f>COS(S16)*COS($D$51)*COS($D$35)+SIN(S16)*SIN($D$51)</f>
        <v>0.8972827095385676</v>
      </c>
      <c r="V17">
        <f>COS($D$51)*COS($D$35)*(TAN($D$35)*COS(S19)-SIN(S16)*SIN(S19))+COS(S16)*SIN(S19)*SIN($D$51)</f>
        <v>-0.2696154116000798</v>
      </c>
    </row>
    <row r="18" spans="1:24" ht="12.75">
      <c r="A18">
        <f>RADIANS(B5)</f>
        <v>0.8644034008710583</v>
      </c>
      <c r="B18">
        <f>COS(F16)*SIN(E16)/COS(A18)</f>
        <v>0.8984466804121248</v>
      </c>
      <c r="C18">
        <f>ASIN(B18)</f>
        <v>1.1162189624962293</v>
      </c>
      <c r="D18">
        <f>COS(C18)</f>
        <v>0.4390826373889467</v>
      </c>
      <c r="E18">
        <f>DEGREES(C18)</f>
        <v>63.95463556350546</v>
      </c>
      <c r="J18" t="s">
        <v>86</v>
      </c>
      <c r="K18" t="s">
        <v>87</v>
      </c>
      <c r="L18" t="b">
        <f>AND(1600&lt;A2,A2&lt;=1700)</f>
        <v>0</v>
      </c>
      <c r="M18" s="17">
        <v>49.084</v>
      </c>
      <c r="N18" s="17">
        <v>50.79</v>
      </c>
      <c r="O18" s="18">
        <f>M19+O16/3600*$A$29</f>
        <v>37.85625207714184</v>
      </c>
      <c r="P18" s="18">
        <f>N19+P16/3600*$A$29</f>
        <v>89.29021889251283</v>
      </c>
      <c r="Q18" s="18">
        <f>SIN($F$43)*COS(P19)*COS(O19+$B$43)+COS($F$43)*SIN(P19)</f>
        <v>0.7656721589946174</v>
      </c>
      <c r="R18" s="18" t="s">
        <v>29</v>
      </c>
      <c r="S18" s="14" t="s">
        <v>134</v>
      </c>
      <c r="T18" s="14" t="s">
        <v>135</v>
      </c>
      <c r="U18" s="14" t="s">
        <v>129</v>
      </c>
      <c r="V18" s="14" t="s">
        <v>135</v>
      </c>
      <c r="W18" s="14" t="s">
        <v>28</v>
      </c>
      <c r="X18" s="14"/>
    </row>
    <row r="19" spans="10:23" ht="12.75">
      <c r="J19" t="s">
        <v>88</v>
      </c>
      <c r="K19">
        <f>K3-1600</f>
        <v>-7599.958333333333</v>
      </c>
      <c r="M19" s="11">
        <f>(M16+M17/60+M18/3600)*15</f>
        <v>37.95451666666666</v>
      </c>
      <c r="N19" s="11">
        <f>N16+N17/60+N18/3600</f>
        <v>89.26410833333334</v>
      </c>
      <c r="O19">
        <f>RADIANS(O18)</f>
        <v>0.6607162412110675</v>
      </c>
      <c r="P19">
        <f>RADIANS(P18)</f>
        <v>1.5584083095007937</v>
      </c>
      <c r="R19">
        <f>DEGREES(ASIN(Q18))</f>
        <v>49.96682737245124</v>
      </c>
      <c r="S19">
        <f>RADIANS(R19)</f>
        <v>0.8720856544249012</v>
      </c>
      <c r="T19">
        <f>SIN($D$35)*COS(S16)*$A$32+SIN(S16)*$A$35</f>
        <v>-3.481921351331518E-05</v>
      </c>
      <c r="U19" s="15">
        <f>($A$56*U16-U17)*$V$13/COS(S19)</f>
        <v>-0.0001359604636558223</v>
      </c>
      <c r="V19" s="15">
        <f>($A$56*V16-V17)*$V$13</f>
        <v>2.7646924555972664E-05</v>
      </c>
      <c r="W19">
        <f>360-W16</f>
        <v>52.19488539771197</v>
      </c>
    </row>
    <row r="20" spans="1:12" ht="12.75">
      <c r="A20" t="s">
        <v>21</v>
      </c>
      <c r="B20" t="s">
        <v>22</v>
      </c>
      <c r="C20" t="s">
        <v>23</v>
      </c>
      <c r="D20" t="s">
        <v>24</v>
      </c>
      <c r="E20" t="s">
        <v>25</v>
      </c>
      <c r="F20" t="s">
        <v>26</v>
      </c>
      <c r="J20" t="s">
        <v>81</v>
      </c>
      <c r="K20">
        <f>120+K19*(-0.9808+K19*(-0.01532+K19/7129))</f>
        <v>-62452384.32841643</v>
      </c>
      <c r="L20">
        <f>K20*L18</f>
        <v>0</v>
      </c>
    </row>
    <row r="21" spans="1:6" ht="12.75">
      <c r="A21">
        <f>SIN(F16)*SIN(A18)</f>
        <v>0.5824495421394351</v>
      </c>
      <c r="B21">
        <f>COS(F16)*COS(A18)*D18*COS(E16)</f>
        <v>-0.07735088541222697</v>
      </c>
      <c r="C21">
        <f>COS(F16)*COS(A18)*B18*SIN(E16)</f>
        <v>0.34009472700497223</v>
      </c>
      <c r="D21">
        <f>(A21-B21)/(1-C21)</f>
        <v>0.9998411204643209</v>
      </c>
      <c r="E21">
        <f>ASIN(D21)</f>
        <v>1.5529702928571345</v>
      </c>
      <c r="F21">
        <f>DEGREES(E21)</f>
        <v>88.97864348990926</v>
      </c>
    </row>
    <row r="22" spans="10:12" ht="12.75">
      <c r="J22" t="s">
        <v>89</v>
      </c>
      <c r="K22" t="s">
        <v>90</v>
      </c>
      <c r="L22" t="b">
        <f>AND(1700&lt;A2,A2&lt;=1800)</f>
        <v>0</v>
      </c>
    </row>
    <row r="23" spans="1:11" ht="12.75">
      <c r="A23" s="9" t="s">
        <v>11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J23" t="s">
        <v>88</v>
      </c>
      <c r="K23">
        <f>K3-1700</f>
        <v>-7699.958333333333</v>
      </c>
    </row>
    <row r="24" spans="1:12" ht="12.75">
      <c r="A24" s="9"/>
      <c r="B24" s="9"/>
      <c r="C24" s="9"/>
      <c r="D24" s="9"/>
      <c r="E24" s="9"/>
      <c r="F24" s="9"/>
      <c r="J24" t="s">
        <v>81</v>
      </c>
      <c r="K24">
        <f>8.83+K23*(0.1603+K23*(-0.0059285+K23*(0.00013336-K23/1174000)))</f>
        <v>-3055466671.5347033</v>
      </c>
      <c r="L24">
        <f>K24*L22</f>
        <v>0</v>
      </c>
    </row>
    <row r="25" spans="1:6" ht="12.75">
      <c r="A25" t="s">
        <v>30</v>
      </c>
      <c r="B25" t="s">
        <v>0</v>
      </c>
      <c r="C25" t="s">
        <v>1</v>
      </c>
      <c r="D25" t="s">
        <v>31</v>
      </c>
      <c r="E25" t="s">
        <v>32</v>
      </c>
      <c r="F25" s="10" t="s">
        <v>33</v>
      </c>
    </row>
    <row r="26" spans="1:12" ht="12.75">
      <c r="A26">
        <f>C2+(D2*3600+E2*60+F2)/86400</f>
        <v>1</v>
      </c>
      <c r="B26">
        <f>IF(B2&gt;2.5,A2,A2-1)</f>
        <v>-6001</v>
      </c>
      <c r="C26">
        <f>IF(B2&gt;2.5,B2,B2+12)</f>
        <v>13</v>
      </c>
      <c r="D26">
        <f>INT(B26/100)</f>
        <v>-61</v>
      </c>
      <c r="E26">
        <f>2-D26+INT(D26/4)</f>
        <v>47</v>
      </c>
      <c r="F26">
        <f>INT(365.25*(B26+4716))+INT(30.6001*(C26+1))+A26+E26-1524.5</f>
        <v>-470395.5</v>
      </c>
      <c r="J26" t="s">
        <v>91</v>
      </c>
      <c r="K26" t="s">
        <v>92</v>
      </c>
      <c r="L26" t="b">
        <f>AND(1800&lt;A2,A2&lt;=1860)</f>
        <v>0</v>
      </c>
    </row>
    <row r="27" spans="10:11" ht="12.75">
      <c r="J27" t="s">
        <v>88</v>
      </c>
      <c r="K27">
        <f>K3-1800</f>
        <v>-7799.958333333333</v>
      </c>
    </row>
    <row r="28" spans="1:12" ht="12.75">
      <c r="A28" s="10" t="s">
        <v>34</v>
      </c>
      <c r="B28" s="10" t="s">
        <v>35</v>
      </c>
      <c r="C28" t="s">
        <v>36</v>
      </c>
      <c r="D28" s="10" t="s">
        <v>37</v>
      </c>
      <c r="E28" s="10" t="s">
        <v>38</v>
      </c>
      <c r="F28" s="10" t="s">
        <v>39</v>
      </c>
      <c r="J28" t="s">
        <v>81</v>
      </c>
      <c r="K28">
        <f>13.72+K27*(-0.332447+K27*(0.0068612+K27*(0.0041116+K27*(-0.00037436+K27*(0.0000121272+K27*(-0.0000001699+0.000000000875*K27))))))</f>
        <v>-1.5755415004346875E+18</v>
      </c>
      <c r="L28">
        <f>K28*L26</f>
        <v>0</v>
      </c>
    </row>
    <row r="29" spans="1:6" ht="12.75">
      <c r="A29">
        <f>E29*1000</f>
        <v>-7999.83089754354</v>
      </c>
      <c r="B29">
        <f>L8+L12+L16+L20+L24+L28+L32+L36+L40+L44+L48+L52+L56+L59</f>
        <v>195667.68000000002</v>
      </c>
      <c r="C29">
        <f>C2+(D2*3600+E2*60+(F2+B29))/86400</f>
        <v>3.2646722222222224</v>
      </c>
      <c r="D29">
        <f>INT(365.25*(B26+4716))+INT(30.6001*(C26+1))+C29+E26-1524.5</f>
        <v>-470393.2353277778</v>
      </c>
      <c r="E29">
        <f>(D29-2451545)/365250</f>
        <v>-7.99983089754354</v>
      </c>
      <c r="F29">
        <f>10*E29</f>
        <v>-79.9983089754354</v>
      </c>
    </row>
    <row r="30" spans="10:12" ht="12.75">
      <c r="J30" t="s">
        <v>93</v>
      </c>
      <c r="K30" t="s">
        <v>94</v>
      </c>
      <c r="L30" t="b">
        <f>AND(1860&lt;A2,A2&lt;=1900)</f>
        <v>0</v>
      </c>
    </row>
    <row r="31" spans="1:11" ht="12.75">
      <c r="A31" s="10" t="s">
        <v>40</v>
      </c>
      <c r="B31" t="s">
        <v>41</v>
      </c>
      <c r="C31" t="s">
        <v>42</v>
      </c>
      <c r="D31" t="s">
        <v>43</v>
      </c>
      <c r="E31" t="s">
        <v>44</v>
      </c>
      <c r="F31" s="10" t="s">
        <v>45</v>
      </c>
      <c r="J31" t="s">
        <v>88</v>
      </c>
      <c r="K31">
        <f>K3-1860</f>
        <v>-7859.958333333333</v>
      </c>
    </row>
    <row r="32" spans="1:12" ht="12.75">
      <c r="A32">
        <f>RADIANS(F32)</f>
        <v>-6.252391009933559E-05</v>
      </c>
      <c r="B32">
        <f>RADIANS(280.4665+36000.7698*F29)</f>
        <v>-50260.59971234703</v>
      </c>
      <c r="C32">
        <f>RADIANS(218.3165+481267.8813*F29)</f>
        <v>-671958.7145663983</v>
      </c>
      <c r="D32">
        <f>RADIANS(125.04452-1934.136261*F29)</f>
        <v>2702.6890295246603</v>
      </c>
      <c r="E32">
        <f>-17.2*SIN(D32)-1.32*SIN(2*B32)-0.23*SIN(2*C32)+0.21*SIN(2*D32)</f>
        <v>-12.896482202450326</v>
      </c>
      <c r="F32">
        <f>E32/3600</f>
        <v>-0.0035823561673473127</v>
      </c>
      <c r="J32" t="s">
        <v>81</v>
      </c>
      <c r="K32">
        <f>7.62+K31*(0.5737+K31*(-0.251754+K31*(0.01680668+K31*(-0.0004473624+K31/233174))))</f>
        <v>-130368945949605.23</v>
      </c>
      <c r="L32">
        <f>K32*L30</f>
        <v>0</v>
      </c>
    </row>
    <row r="34" spans="1:12" ht="12.75">
      <c r="A34" s="10" t="s">
        <v>46</v>
      </c>
      <c r="B34" t="s">
        <v>47</v>
      </c>
      <c r="C34" t="s">
        <v>48</v>
      </c>
      <c r="D34" s="10" t="s">
        <v>49</v>
      </c>
      <c r="E34" t="s">
        <v>50</v>
      </c>
      <c r="F34" s="10" t="s">
        <v>51</v>
      </c>
      <c r="J34" t="s">
        <v>95</v>
      </c>
      <c r="K34" t="s">
        <v>96</v>
      </c>
      <c r="L34" t="b">
        <f>AND(1900&lt;A2,A2&lt;=1920)</f>
        <v>0</v>
      </c>
    </row>
    <row r="35" spans="1:11" ht="12.75">
      <c r="A35">
        <f>RADIANS(F35)</f>
        <v>2.4166679814702197E-05</v>
      </c>
      <c r="B35">
        <f>F29*(-46.815+F29*(-0.00059+0.001813*F29))</f>
        <v>2813.147856960479</v>
      </c>
      <c r="C35">
        <f>RADIANS(23.4392911+B35/3600)</f>
        <v>0.4227313297087875</v>
      </c>
      <c r="D35">
        <f>C35+A35</f>
        <v>0.4227554963886022</v>
      </c>
      <c r="E35">
        <f>9.2*COS(D32)+0.57*COS(2*B32)-0.1*COS(2*C32)-0.09*COS(2*D32)</f>
        <v>4.984735529615163</v>
      </c>
      <c r="F35">
        <f>E35/3600</f>
        <v>0.0013846487582264342</v>
      </c>
      <c r="J35" t="s">
        <v>88</v>
      </c>
      <c r="K35">
        <f>K3-1900</f>
        <v>-7899.958333333333</v>
      </c>
    </row>
    <row r="36" spans="10:12" ht="12.75">
      <c r="J36" t="s">
        <v>81</v>
      </c>
      <c r="K36">
        <f>-2.79+K35*(1.494119+K35*(-0.0598939+K35*(0.0061966-0.000197*K35)))</f>
        <v>-770359274585.8026</v>
      </c>
      <c r="L36">
        <f>K36*L34</f>
        <v>0</v>
      </c>
    </row>
    <row r="37" spans="1:3" ht="12.75">
      <c r="A37" t="s">
        <v>52</v>
      </c>
      <c r="B37" t="s">
        <v>53</v>
      </c>
      <c r="C37" s="10" t="s">
        <v>53</v>
      </c>
    </row>
    <row r="38" spans="1:12" ht="12.75">
      <c r="A38">
        <f>280.46061837+360.98564736629*(F26-2451545)+F29*F29*(0.000387933-F29/38710000)</f>
        <v>-1054778300.0017707</v>
      </c>
      <c r="B38">
        <f>A38+F32*COS(D35)</f>
        <v>-1054778300.0050377</v>
      </c>
      <c r="C38">
        <f>B38-INT(B38/360)*360</f>
        <v>99.99496233463287</v>
      </c>
      <c r="J38" t="s">
        <v>97</v>
      </c>
      <c r="K38" t="s">
        <v>98</v>
      </c>
      <c r="L38" t="b">
        <f>AND(1920&lt;A2,A2&lt;=1941)</f>
        <v>0</v>
      </c>
    </row>
    <row r="39" spans="10:12" ht="12.75">
      <c r="J39" s="11" t="s">
        <v>88</v>
      </c>
      <c r="K39" s="11">
        <f>K3-1920</f>
        <v>-7919.958333333333</v>
      </c>
      <c r="L39" s="10"/>
    </row>
    <row r="40" spans="1:12" ht="12.75">
      <c r="A40" t="s">
        <v>54</v>
      </c>
      <c r="B40" t="s">
        <v>55</v>
      </c>
      <c r="C40" t="s">
        <v>54</v>
      </c>
      <c r="D40" t="s">
        <v>54</v>
      </c>
      <c r="E40" t="s">
        <v>54</v>
      </c>
      <c r="F40" t="s">
        <v>54</v>
      </c>
      <c r="J40" s="11" t="s">
        <v>81</v>
      </c>
      <c r="K40">
        <f>21.2+K39*(0.84493+K39*(-0.0761+0.0020936*K39))</f>
        <v>-1044849693.0488075</v>
      </c>
      <c r="L40">
        <f>K40*L38</f>
        <v>0</v>
      </c>
    </row>
    <row r="42" spans="1:12" ht="12.75">
      <c r="A42" s="10" t="s">
        <v>56</v>
      </c>
      <c r="B42" s="10" t="s">
        <v>57</v>
      </c>
      <c r="C42" s="10" t="s">
        <v>58</v>
      </c>
      <c r="D42" s="10"/>
      <c r="E42" s="10" t="s">
        <v>59</v>
      </c>
      <c r="F42" s="10" t="s">
        <v>60</v>
      </c>
      <c r="J42" t="s">
        <v>99</v>
      </c>
      <c r="K42" t="s">
        <v>100</v>
      </c>
      <c r="L42" t="b">
        <f>AND(1941&lt;A2,A2&lt;=1961)</f>
        <v>0</v>
      </c>
    </row>
    <row r="43" spans="1:11" ht="12.75">
      <c r="A43">
        <f>F29*(2306.2181+F29*(0.30188+F29*0.017998))/3600</f>
        <v>-53.27110818464315</v>
      </c>
      <c r="B43">
        <f>RADIANS(A43)</f>
        <v>-0.9297562340081224</v>
      </c>
      <c r="C43">
        <f>F29*(2306.2181+F29*(1.09468+F29*0.018203))/3600</f>
        <v>-51.890899252722285</v>
      </c>
      <c r="E43">
        <f>F29*(2004.3109-F29*(0.42665+F29*0.041833))/3600</f>
        <v>-39.34855261598619</v>
      </c>
      <c r="F43">
        <f>RADIANS(E43)</f>
        <v>-0.686761799043187</v>
      </c>
      <c r="J43" t="s">
        <v>88</v>
      </c>
      <c r="K43">
        <f>K3-1950</f>
        <v>-7949.958333333333</v>
      </c>
    </row>
    <row r="44" spans="10:12" ht="12.75">
      <c r="J44" t="s">
        <v>81</v>
      </c>
      <c r="K44">
        <f>29.07+K43*(0.407+K43*(-1/233+K43/2547))</f>
        <v>-197546533.9682563</v>
      </c>
      <c r="L44">
        <f>K44*L42</f>
        <v>0</v>
      </c>
    </row>
    <row r="45" spans="1:6" ht="12.75">
      <c r="A45" t="s">
        <v>54</v>
      </c>
      <c r="B45" t="s">
        <v>61</v>
      </c>
      <c r="C45" t="s">
        <v>54</v>
      </c>
      <c r="D45" t="s">
        <v>54</v>
      </c>
      <c r="E45" t="s">
        <v>54</v>
      </c>
      <c r="F45" t="s">
        <v>54</v>
      </c>
    </row>
    <row r="46" spans="10:12" ht="12.75">
      <c r="J46" t="s">
        <v>101</v>
      </c>
      <c r="K46" t="s">
        <v>102</v>
      </c>
      <c r="L46" t="b">
        <f>AND(1961&lt;A2,A2&lt;=1986)</f>
        <v>0</v>
      </c>
    </row>
    <row r="47" spans="1:11" ht="12.75">
      <c r="A47" s="11" t="s">
        <v>62</v>
      </c>
      <c r="B47" s="11" t="s">
        <v>63</v>
      </c>
      <c r="C47" s="11" t="s">
        <v>64</v>
      </c>
      <c r="D47" s="11" t="s">
        <v>65</v>
      </c>
      <c r="E47" s="11" t="s">
        <v>66</v>
      </c>
      <c r="F47" s="11" t="s">
        <v>67</v>
      </c>
      <c r="J47" t="s">
        <v>88</v>
      </c>
      <c r="K47">
        <f>K3-1975</f>
        <v>-7974.958333333333</v>
      </c>
    </row>
    <row r="48" spans="1:12" ht="12.75">
      <c r="A48">
        <f>280.46646+F29*(36000.76983+F29*0.0003032)</f>
        <v>-2879718.301355907</v>
      </c>
      <c r="B48">
        <f>357.52911+F29*(35999.05029-F29*0.0001537)</f>
        <v>-2879506.6024500723</v>
      </c>
      <c r="C48">
        <f>RADIANS(B48)</f>
        <v>-50256.87104566918</v>
      </c>
      <c r="D48">
        <f>1.914602-F29*(0.004817+F29*0.000014)</f>
        <v>2.210357642189663</v>
      </c>
      <c r="E48">
        <f>0.019993-F29*0.000101</f>
        <v>0.028072829206518976</v>
      </c>
      <c r="F48">
        <f>0.000289</f>
        <v>0.000289</v>
      </c>
      <c r="J48" t="s">
        <v>81</v>
      </c>
      <c r="K48">
        <f>45.45+K47*(1.067+K47*(-1/260-K47/718))</f>
        <v>706163403.3025553</v>
      </c>
      <c r="L48">
        <f>K48*L46</f>
        <v>0</v>
      </c>
    </row>
    <row r="50" spans="1:12" ht="12.75">
      <c r="A50" t="s">
        <v>68</v>
      </c>
      <c r="B50" t="s">
        <v>69</v>
      </c>
      <c r="C50" t="s">
        <v>70</v>
      </c>
      <c r="D50" s="10" t="s">
        <v>71</v>
      </c>
      <c r="J50" t="s">
        <v>103</v>
      </c>
      <c r="K50" t="s">
        <v>104</v>
      </c>
      <c r="L50" t="b">
        <f>AND(1986&lt;A2,A2&lt;=2005)</f>
        <v>0</v>
      </c>
    </row>
    <row r="51" spans="1:11" ht="12.75">
      <c r="A51">
        <f>D48*SIN(C48)+E48*SIN(2*C48)+F48*SIN(3*C48)</f>
        <v>1.5782124039391006</v>
      </c>
      <c r="B51">
        <f>A48+A51</f>
        <v>-2879716.723143503</v>
      </c>
      <c r="C51">
        <f>B51-360*INT(B51/360)</f>
        <v>283.2768564969301</v>
      </c>
      <c r="D51">
        <f>RADIANS(C51)</f>
        <v>4.944113840570921</v>
      </c>
      <c r="J51" t="s">
        <v>88</v>
      </c>
      <c r="K51">
        <f>K3-2000</f>
        <v>-7999.958333333333</v>
      </c>
    </row>
    <row r="52" spans="10:12" ht="12.75">
      <c r="J52" t="s">
        <v>81</v>
      </c>
      <c r="K52">
        <f>3.86+K51*(0.3345+K51*(-0.060374+K51*(0.0017275+K51*(0.000651814+0.00002373599*K51))))</f>
        <v>-775091779629293.4</v>
      </c>
      <c r="L52">
        <f>K52*L50</f>
        <v>0</v>
      </c>
    </row>
    <row r="53" spans="1:12" ht="12.75">
      <c r="A53" t="s">
        <v>54</v>
      </c>
      <c r="B53" t="s">
        <v>72</v>
      </c>
      <c r="C53" t="s">
        <v>54</v>
      </c>
      <c r="D53" t="s">
        <v>54</v>
      </c>
      <c r="E53" t="s">
        <v>54</v>
      </c>
      <c r="F53" t="s">
        <v>54</v>
      </c>
      <c r="J53" s="12"/>
      <c r="K53" s="12"/>
      <c r="L53" s="12"/>
    </row>
    <row r="54" spans="10:12" ht="12.75">
      <c r="J54" t="s">
        <v>105</v>
      </c>
      <c r="K54" t="s">
        <v>106</v>
      </c>
      <c r="L54" t="b">
        <f>AND(2005&lt;A2,A2&lt;=2050)</f>
        <v>0</v>
      </c>
    </row>
    <row r="55" spans="1:11" ht="12.75">
      <c r="A55" s="10" t="s">
        <v>73</v>
      </c>
      <c r="B55" t="s">
        <v>74</v>
      </c>
      <c r="C55" t="s">
        <v>75</v>
      </c>
      <c r="D55" s="10" t="s">
        <v>76</v>
      </c>
      <c r="J55" t="s">
        <v>88</v>
      </c>
      <c r="K55">
        <f>K3-2000</f>
        <v>-7999.958333333333</v>
      </c>
    </row>
    <row r="56" spans="1:12" ht="12.75">
      <c r="A56">
        <f>0.016708634-F29*(0.000042037+0.0000001267*F29)</f>
        <v>0.019260677194488044</v>
      </c>
      <c r="B56">
        <f>102.93735+F29*(1.71946+0.00046*F29)</f>
        <v>-31.67266680899472</v>
      </c>
      <c r="C56">
        <f>B56-360*INT(B56/360)</f>
        <v>328.32733319100527</v>
      </c>
      <c r="D56">
        <f>RADIANS(C56)</f>
        <v>5.7303929884755025</v>
      </c>
      <c r="J56" t="s">
        <v>81</v>
      </c>
      <c r="K56">
        <f>62.92+K55*(0.32217+0.005589*K55)</f>
        <v>355177.84743345313</v>
      </c>
      <c r="L56">
        <f>K56*L54</f>
        <v>0</v>
      </c>
    </row>
    <row r="58" spans="10:12" ht="12.75">
      <c r="J58" s="12" t="s">
        <v>107</v>
      </c>
      <c r="K58" s="12" t="s">
        <v>108</v>
      </c>
      <c r="L58" s="12" t="b">
        <f>AND(2050&lt;A2,A2&lt;=2150)</f>
        <v>0</v>
      </c>
    </row>
    <row r="59" spans="10:12" ht="12.75">
      <c r="J59" t="s">
        <v>81</v>
      </c>
      <c r="K59">
        <f>-20+32*((K3-1820)/100)*((K3-1820)/100)-0.5628*(2150-K3)</f>
        <v>191078.79812222224</v>
      </c>
      <c r="L59">
        <f>K59*L58</f>
        <v>0</v>
      </c>
    </row>
    <row r="64" spans="10:12" ht="12.75">
      <c r="J64" s="12"/>
      <c r="K64" s="12"/>
      <c r="L64" s="12"/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&amp;CLatitude from Polaris
Enter UT, Ho, and longitude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2009-06-23T00:33:53Z</dcterms:created>
  <dcterms:modified xsi:type="dcterms:W3CDTF">2012-10-24T01:11:21Z</dcterms:modified>
  <cp:category/>
  <cp:version/>
  <cp:contentType/>
  <cp:contentStatus/>
</cp:coreProperties>
</file>