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432"/>
  </bookViews>
  <sheets>
    <sheet name="SR index card" sheetId="7" r:id="rId1"/>
    <sheet name="Zn(dec, LHA, Hc)" sheetId="8" r:id="rId2"/>
  </sheets>
  <definedNames>
    <definedName name="_xlnm.Print_Area" localSheetId="0">'SR index card'!$D$1:$N$41</definedName>
  </definedNames>
  <calcPr calcId="152511" iterateDelta="1E-4"/>
</workbook>
</file>

<file path=xl/calcChain.xml><?xml version="1.0" encoding="utf-8"?>
<calcChain xmlns="http://schemas.openxmlformats.org/spreadsheetml/2006/main">
  <c r="E4" i="7" l="1"/>
  <c r="B5" i="7" l="1"/>
  <c r="B3" i="7"/>
  <c r="B1" i="8" s="1"/>
  <c r="K2" i="8" s="1"/>
  <c r="K3" i="8" s="1"/>
  <c r="B2" i="7"/>
  <c r="B6" i="7" l="1"/>
  <c r="I6" i="7" s="1"/>
  <c r="B2" i="8"/>
  <c r="I5" i="7"/>
  <c r="K6" i="7" s="1"/>
  <c r="B7" i="7"/>
  <c r="I7" i="7" s="1"/>
  <c r="B8" i="7"/>
  <c r="I8" i="7" s="1"/>
  <c r="E6" i="7" l="1"/>
  <c r="B3" i="8"/>
  <c r="F13" i="7"/>
  <c r="E8" i="7"/>
  <c r="E7" i="7"/>
  <c r="I10" i="7"/>
  <c r="I11" i="7"/>
  <c r="M2" i="8" l="1"/>
  <c r="M3" i="8" s="1"/>
  <c r="B4" i="8"/>
  <c r="A101" i="8" s="1"/>
  <c r="A97" i="8"/>
  <c r="A93" i="8"/>
  <c r="A89" i="8"/>
  <c r="A85" i="8"/>
  <c r="A81" i="8"/>
  <c r="A77" i="8"/>
  <c r="A73" i="8"/>
  <c r="A69" i="8"/>
  <c r="A65" i="8"/>
  <c r="A61" i="8"/>
  <c r="A57" i="8"/>
  <c r="A53" i="8"/>
  <c r="A49" i="8"/>
  <c r="A45" i="8"/>
  <c r="A41" i="8"/>
  <c r="A37" i="8"/>
  <c r="A33" i="8"/>
  <c r="A29" i="8"/>
  <c r="A25" i="8"/>
  <c r="A21" i="8"/>
  <c r="A17" i="8"/>
  <c r="A13" i="8"/>
  <c r="A100" i="8"/>
  <c r="A96" i="8"/>
  <c r="A92" i="8"/>
  <c r="A88" i="8"/>
  <c r="A84" i="8"/>
  <c r="A80" i="8"/>
  <c r="A76" i="8"/>
  <c r="A72" i="8"/>
  <c r="A68" i="8"/>
  <c r="A64" i="8"/>
  <c r="A60" i="8"/>
  <c r="A56" i="8"/>
  <c r="A52" i="8"/>
  <c r="A48" i="8"/>
  <c r="A44" i="8"/>
  <c r="A40" i="8"/>
  <c r="A36" i="8"/>
  <c r="A32" i="8"/>
  <c r="A28" i="8"/>
  <c r="A24" i="8"/>
  <c r="A20" i="8"/>
  <c r="A16" i="8"/>
  <c r="A12" i="8"/>
  <c r="A99" i="8"/>
  <c r="A95" i="8"/>
  <c r="A91" i="8"/>
  <c r="A87" i="8"/>
  <c r="A83" i="8"/>
  <c r="A79" i="8"/>
  <c r="A75" i="8"/>
  <c r="A71" i="8"/>
  <c r="A67" i="8"/>
  <c r="A63" i="8"/>
  <c r="A59" i="8"/>
  <c r="A55" i="8"/>
  <c r="A51" i="8"/>
  <c r="A47" i="8"/>
  <c r="A43" i="8"/>
  <c r="A39" i="8"/>
  <c r="A35" i="8"/>
  <c r="A31" i="8"/>
  <c r="A27" i="8"/>
  <c r="A23" i="8"/>
  <c r="A19" i="8"/>
  <c r="A15" i="8"/>
  <c r="A11" i="8"/>
  <c r="A98" i="8"/>
  <c r="A94" i="8"/>
  <c r="A90" i="8"/>
  <c r="A86" i="8"/>
  <c r="A82" i="8"/>
  <c r="A78" i="8"/>
  <c r="A74" i="8"/>
  <c r="A70" i="8"/>
  <c r="A66" i="8"/>
  <c r="A62" i="8"/>
  <c r="A58" i="8"/>
  <c r="A54" i="8"/>
  <c r="A50" i="8"/>
  <c r="A46" i="8"/>
  <c r="A42" i="8"/>
  <c r="A38" i="8"/>
  <c r="A30" i="8"/>
  <c r="A22" i="8"/>
  <c r="A14" i="8"/>
  <c r="A34" i="8"/>
  <c r="A26" i="8"/>
  <c r="A18" i="8"/>
  <c r="K9" i="7"/>
  <c r="K4" i="7"/>
  <c r="K5" i="7" s="1"/>
  <c r="K7" i="7" s="1"/>
  <c r="K8" i="7" l="1"/>
  <c r="K10" i="7"/>
  <c r="B9" i="7" s="1"/>
  <c r="K11" i="7" l="1"/>
  <c r="N4" i="7" s="1"/>
  <c r="B10" i="7"/>
  <c r="B5" i="8" l="1"/>
  <c r="E2" i="8" s="1"/>
  <c r="E3" i="8" s="1"/>
  <c r="F14" i="7"/>
  <c r="B11" i="7"/>
  <c r="C11" i="7" s="1"/>
  <c r="N5" i="7"/>
  <c r="B6" i="8" l="1"/>
  <c r="G2" i="8" s="1"/>
  <c r="G3" i="8" s="1"/>
  <c r="F16" i="7"/>
  <c r="B8" i="8" s="1"/>
  <c r="F15" i="7"/>
  <c r="B7" i="8" s="1"/>
  <c r="F17" i="7"/>
  <c r="B9" i="8" s="1"/>
</calcChain>
</file>

<file path=xl/sharedStrings.xml><?xml version="1.0" encoding="utf-8"?>
<sst xmlns="http://schemas.openxmlformats.org/spreadsheetml/2006/main" count="70" uniqueCount="43">
  <si>
    <t>D</t>
  </si>
  <si>
    <t>hv</t>
  </si>
  <si>
    <t>hv(ZD) = n+[1-(n+m)](a)</t>
  </si>
  <si>
    <t>B</t>
  </si>
  <si>
    <t>dec</t>
  </si>
  <si>
    <t>LHA</t>
  </si>
  <si>
    <t>N</t>
  </si>
  <si>
    <t>B + dec</t>
  </si>
  <si>
    <t>Name</t>
  </si>
  <si>
    <t>B - dec</t>
  </si>
  <si>
    <t>n</t>
  </si>
  <si>
    <t>m</t>
  </si>
  <si>
    <t>ZD</t>
  </si>
  <si>
    <t>Hc</t>
  </si>
  <si>
    <t>89º 60'</t>
  </si>
  <si>
    <t>x</t>
  </si>
  <si>
    <t>a</t>
  </si>
  <si>
    <t>Doniol-Hanno Haversine Sight Reduction</t>
  </si>
  <si>
    <t>t</t>
  </si>
  <si>
    <t>Contrary</t>
  </si>
  <si>
    <t>Same name</t>
  </si>
  <si>
    <t>hv (B-dec)</t>
  </si>
  <si>
    <t>hv (B+dec)</t>
  </si>
  <si>
    <t>1.0000</t>
  </si>
  <si>
    <t>n+m</t>
  </si>
  <si>
    <t>-</t>
  </si>
  <si>
    <t>1-(n+m)</t>
  </si>
  <si>
    <t>a(1-(n+m))</t>
  </si>
  <si>
    <t>+</t>
  </si>
  <si>
    <t>Z = asin( C/ cos Hc )</t>
  </si>
  <si>
    <t>º</t>
  </si>
  <si>
    <t>C = sin t * cos dec</t>
  </si>
  <si>
    <t>Zn</t>
  </si>
  <si>
    <t>360-Z</t>
  </si>
  <si>
    <t>180+Z</t>
  </si>
  <si>
    <t>180-Z</t>
  </si>
  <si>
    <t>Z</t>
  </si>
  <si>
    <t>C</t>
  </si>
  <si>
    <t>Dec</t>
  </si>
  <si>
    <t>NZE</t>
  </si>
  <si>
    <t>NZW</t>
  </si>
  <si>
    <t>SZW</t>
  </si>
  <si>
    <t>SZE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</si>
</sst>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\ \º"/>
    <numFmt numFmtId="166" formatCode=".0000"/>
    <numFmt numFmtId="167" formatCode="0.00000000"/>
    <numFmt numFmtId="168" formatCode="00.0\'"/>
    <numFmt numFmtId="169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 tint="-0.1499984740745262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FF0000"/>
      </top>
      <bottom style="thin">
        <color rgb="FF0070C0"/>
      </bottom>
      <diagonal/>
    </border>
    <border>
      <left/>
      <right/>
      <top style="thin">
        <color rgb="FFFF0000"/>
      </top>
      <bottom style="thin">
        <color rgb="FF0070C0"/>
      </bottom>
      <diagonal/>
    </border>
    <border>
      <left/>
      <right style="thin">
        <color rgb="FF000000"/>
      </right>
      <top style="thin">
        <color rgb="FFFF0000"/>
      </top>
      <bottom style="thin">
        <color rgb="FF0070C0"/>
      </bottom>
      <diagonal/>
    </border>
    <border>
      <left style="thin">
        <color rgb="FF00000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000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0000"/>
      </bottom>
      <diagonal/>
    </border>
    <border>
      <left/>
      <right style="thin">
        <color rgb="FF000000"/>
      </right>
      <top style="thin">
        <color rgb="FF0070C0"/>
      </top>
      <bottom style="thin">
        <color rgb="FF000000"/>
      </bottom>
      <diagonal/>
    </border>
    <border>
      <left/>
      <right/>
      <top style="thin">
        <color rgb="FF0070C0"/>
      </top>
      <bottom/>
      <diagonal/>
    </border>
    <border>
      <left style="thin">
        <color rgb="FF000000"/>
      </left>
      <right/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medium">
        <color indexed="64"/>
      </bottom>
      <diagonal/>
    </border>
    <border>
      <left/>
      <right style="thin">
        <color rgb="FF000000"/>
      </right>
      <top style="thin">
        <color rgb="FF0070C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70C0"/>
      </bottom>
      <diagonal/>
    </border>
  </borders>
  <cellStyleXfs count="2">
    <xf numFmtId="0" fontId="0" fillId="0" borderId="0"/>
    <xf numFmtId="0" fontId="14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 indent="1"/>
    </xf>
    <xf numFmtId="0" fontId="4" fillId="0" borderId="0" xfId="0" applyFont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5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65" fontId="6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165" fontId="6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6" fontId="4" fillId="0" borderId="8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vertical="center" wrapText="1"/>
    </xf>
    <xf numFmtId="0" fontId="4" fillId="0" borderId="8" xfId="0" quotePrefix="1" applyFont="1" applyBorder="1" applyAlignment="1">
      <alignment vertical="center"/>
    </xf>
    <xf numFmtId="0" fontId="5" fillId="0" borderId="8" xfId="0" applyFont="1" applyBorder="1" applyAlignment="1">
      <alignment horizontal="right" vertical="center" wrapText="1"/>
    </xf>
    <xf numFmtId="0" fontId="4" fillId="0" borderId="8" xfId="0" quotePrefix="1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left" vertical="center"/>
    </xf>
    <xf numFmtId="167" fontId="4" fillId="0" borderId="8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164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0" xfId="0" applyFont="1"/>
    <xf numFmtId="0" fontId="8" fillId="0" borderId="1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8" fontId="5" fillId="0" borderId="5" xfId="0" applyNumberFormat="1" applyFont="1" applyBorder="1" applyAlignment="1">
      <alignment horizontal="left" vertical="center"/>
    </xf>
    <xf numFmtId="168" fontId="5" fillId="0" borderId="8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10" fillId="0" borderId="0" xfId="0" applyFont="1"/>
    <xf numFmtId="169" fontId="0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1" applyFont="1" applyAlignment="1">
      <alignment horizontal="right"/>
    </xf>
    <xf numFmtId="0" fontId="13" fillId="0" borderId="0" xfId="1" applyFont="1"/>
    <xf numFmtId="0" fontId="15" fillId="0" borderId="0" xfId="1" applyFont="1"/>
    <xf numFmtId="169" fontId="15" fillId="0" borderId="0" xfId="1" applyNumberFormat="1" applyFont="1"/>
    <xf numFmtId="0" fontId="16" fillId="0" borderId="0" xfId="1" applyFont="1"/>
    <xf numFmtId="0" fontId="13" fillId="0" borderId="0" xfId="1" applyFont="1" applyAlignment="1">
      <alignment horizontal="center"/>
    </xf>
    <xf numFmtId="169" fontId="16" fillId="0" borderId="0" xfId="1" applyNumberFormat="1" applyFont="1"/>
    <xf numFmtId="169" fontId="17" fillId="0" borderId="0" xfId="1" applyNumberFormat="1" applyFont="1"/>
    <xf numFmtId="0" fontId="14" fillId="0" borderId="0" xfId="1" applyFont="1"/>
    <xf numFmtId="0" fontId="14" fillId="0" borderId="0" xfId="1"/>
    <xf numFmtId="0" fontId="14" fillId="2" borderId="0" xfId="1" applyFont="1" applyFill="1"/>
    <xf numFmtId="0" fontId="13" fillId="0" borderId="20" xfId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5" fillId="0" borderId="20" xfId="1" applyFont="1" applyBorder="1"/>
    <xf numFmtId="0" fontId="15" fillId="0" borderId="20" xfId="1" applyFont="1" applyBorder="1" applyAlignment="1">
      <alignment horizontal="center"/>
    </xf>
    <xf numFmtId="0" fontId="18" fillId="0" borderId="0" xfId="0" applyFont="1"/>
    <xf numFmtId="0" fontId="15" fillId="3" borderId="0" xfId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Azimuth diagram Zn(dec, t, Hc)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212832685531797E-2"/>
          <c:y val="0.10274161735700199"/>
          <c:w val="0.90399724624585864"/>
          <c:h val="0.8515024305393778"/>
        </c:manualLayout>
      </c:layout>
      <c:scatterChart>
        <c:scatterStyle val="smoothMarker"/>
        <c:varyColors val="0"/>
        <c:ser>
          <c:idx val="1"/>
          <c:order val="0"/>
          <c:tx>
            <c:v>Hc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prstDash val="dashDot"/>
                <a:round/>
              </a:ln>
              <a:effectLst/>
            </c:spPr>
          </c:dPt>
          <c:xVal>
            <c:numRef>
              <c:f>'Zn(dec, LHA, Hc)'!$D$2:$D$3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'Zn(dec, LHA, Hc)'!$E$2:$E$3</c:f>
              <c:numCache>
                <c:formatCode>General</c:formatCode>
                <c:ptCount val="2"/>
                <c:pt idx="0">
                  <c:v>11.558818684361725</c:v>
                </c:pt>
                <c:pt idx="1">
                  <c:v>11.558818684361725</c:v>
                </c:pt>
              </c:numCache>
            </c:numRef>
          </c:yVal>
          <c:smooth val="1"/>
        </c:ser>
        <c:ser>
          <c:idx val="8"/>
          <c:order val="1"/>
          <c:tx>
            <c:strRef>
              <c:f>'Zn(dec, LHA, Hc)'!$B$4</c:f>
              <c:strCache>
                <c:ptCount val="1"/>
                <c:pt idx="0">
                  <c:v>0.913736374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'Zn(dec, LHA, Hc)'!$A$11:$A$101</c:f>
              <c:numCache>
                <c:formatCode>General</c:formatCode>
                <c:ptCount val="91"/>
                <c:pt idx="0">
                  <c:v>66.026908013095692</c:v>
                </c:pt>
                <c:pt idx="1">
                  <c:v>66.046543238659609</c:v>
                </c:pt>
                <c:pt idx="2">
                  <c:v>66.105570017422167</c:v>
                </c:pt>
                <c:pt idx="3">
                  <c:v>66.204354737716542</c:v>
                </c:pt>
                <c:pt idx="4">
                  <c:v>66.343518509379237</c:v>
                </c:pt>
                <c:pt idx="5">
                  <c:v>66.52395354007318</c:v>
                </c:pt>
                <c:pt idx="6">
                  <c:v>66.746847507583936</c:v>
                </c:pt>
                <c:pt idx="7">
                  <c:v>67.013717576902863</c:v>
                </c:pt>
                <c:pt idx="8">
                  <c:v>67.326456515877382</c:v>
                </c:pt>
                <c:pt idx="9">
                  <c:v>67.687394507748465</c:v>
                </c:pt>
                <c:pt idx="10">
                  <c:v>68.099381949830644</c:v>
                </c:pt>
                <c:pt idx="11">
                  <c:v>68.565901111467227</c:v>
                </c:pt>
                <c:pt idx="12">
                  <c:v>69.091218604073063</c:v>
                </c:pt>
                <c:pt idx="13">
                  <c:v>69.680597281810208</c:v>
                </c:pt>
                <c:pt idx="14">
                  <c:v>70.340597500823932</c:v>
                </c:pt>
                <c:pt idx="15">
                  <c:v>71.079517694593449</c:v>
                </c:pt>
                <c:pt idx="16">
                  <c:v>71.908061519902262</c:v>
                </c:pt>
                <c:pt idx="17">
                  <c:v>72.840392558836797</c:v>
                </c:pt>
                <c:pt idx="18">
                  <c:v>73.895894363224116</c:v>
                </c:pt>
                <c:pt idx="19">
                  <c:v>75.102319120267708</c:v>
                </c:pt>
                <c:pt idx="20">
                  <c:v>76.501968222015535</c:v>
                </c:pt>
                <c:pt idx="21">
                  <c:v>78.165518488836938</c:v>
                </c:pt>
                <c:pt idx="22">
                  <c:v>80.229844731221419</c:v>
                </c:pt>
                <c:pt idx="23">
                  <c:v>83.047570085668525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'Zn(dec, LHA, Hc)'!$B$11:$B$101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yVal>
          <c:smooth val="1"/>
        </c:ser>
        <c:ser>
          <c:idx val="0"/>
          <c:order val="2"/>
          <c:tx>
            <c:v>Z</c:v>
          </c:tx>
          <c:spPr>
            <a:ln w="19050" cap="rnd">
              <a:solidFill>
                <a:schemeClr val="accent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'Zn(dec, LHA, Hc)'!$G$2:$G$3</c:f>
              <c:numCache>
                <c:formatCode>0.0</c:formatCode>
                <c:ptCount val="2"/>
                <c:pt idx="0">
                  <c:v>68.851899189434036</c:v>
                </c:pt>
                <c:pt idx="1">
                  <c:v>68.851899189434036</c:v>
                </c:pt>
              </c:numCache>
            </c:numRef>
          </c:xVal>
          <c:yVal>
            <c:numRef>
              <c:f>'Zn(dec, LHA, Hc)'!$H$2:$H$3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'Zn(dec, LHA, Hc)'!$K$1</c:f>
              <c:strCache>
                <c:ptCount val="1"/>
                <c:pt idx="0">
                  <c:v>Dec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3"/>
                </a:solidFill>
                <a:prstDash val="dashDot"/>
                <a:round/>
              </a:ln>
              <a:effectLst/>
            </c:spPr>
          </c:dPt>
          <c:xVal>
            <c:numRef>
              <c:f>'Zn(dec, LHA, Hc)'!$J$2:$J$3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'Zn(dec, LHA, Hc)'!$K$2:$K$3</c:f>
              <c:numCache>
                <c:formatCode>General</c:formatCode>
                <c:ptCount val="2"/>
                <c:pt idx="0">
                  <c:v>23.243333333333332</c:v>
                </c:pt>
                <c:pt idx="1">
                  <c:v>23.243333333333332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'Zn(dec, LHA, Hc)'!$M$1</c:f>
              <c:strCache>
                <c:ptCount val="1"/>
                <c:pt idx="0">
                  <c:v>t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'Zn(dec, LHA, Hc)'!$M$2:$M$3</c:f>
              <c:numCache>
                <c:formatCode>General</c:formatCode>
                <c:ptCount val="2"/>
                <c:pt idx="0">
                  <c:v>83.95999999999998</c:v>
                </c:pt>
                <c:pt idx="1">
                  <c:v>83.95999999999998</c:v>
                </c:pt>
              </c:numCache>
            </c:numRef>
          </c:xVal>
          <c:yVal>
            <c:numRef>
              <c:f>'Zn(dec, LHA, Hc)'!$N$2:$N$3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622200"/>
        <c:axId val="279326104"/>
      </c:scatterChart>
      <c:valAx>
        <c:axId val="28362220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326104"/>
        <c:crosses val="autoZero"/>
        <c:crossBetween val="midCat"/>
        <c:majorUnit val="5"/>
      </c:valAx>
      <c:valAx>
        <c:axId val="279326104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622200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11</xdr:col>
      <xdr:colOff>238125</xdr:colOff>
      <xdr:row>40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workbookViewId="0">
      <selection activeCell="E2" sqref="E2"/>
    </sheetView>
  </sheetViews>
  <sheetFormatPr baseColWidth="10" defaultColWidth="9.140625" defaultRowHeight="15" x14ac:dyDescent="0.25"/>
  <cols>
    <col min="1" max="1" width="7.140625" style="4" bestFit="1" customWidth="1"/>
    <col min="2" max="2" width="12" style="2" customWidth="1"/>
    <col min="3" max="3" width="9.140625" style="2"/>
    <col min="4" max="4" width="12.42578125" style="2" bestFit="1" customWidth="1"/>
    <col min="5" max="5" width="6" style="6" customWidth="1"/>
    <col min="6" max="6" width="5.5703125" style="6" bestFit="1" customWidth="1"/>
    <col min="7" max="7" width="2.5703125" style="6" bestFit="1" customWidth="1"/>
    <col min="8" max="8" width="2.140625" style="6" bestFit="1" customWidth="1"/>
    <col min="9" max="9" width="6.140625" style="34" bestFit="1" customWidth="1"/>
    <col min="10" max="10" width="6.140625" style="6" customWidth="1"/>
    <col min="11" max="11" width="11.85546875" style="6" bestFit="1" customWidth="1"/>
    <col min="12" max="12" width="13.42578125" style="58" customWidth="1"/>
    <col min="13" max="13" width="3.5703125" style="6" bestFit="1" customWidth="1"/>
    <col min="14" max="14" width="7.28515625" style="6" bestFit="1" customWidth="1"/>
    <col min="15" max="15" width="9.140625" style="6"/>
    <col min="16" max="16384" width="9.140625" style="2"/>
  </cols>
  <sheetData>
    <row r="1" spans="1:14" ht="35.1" customHeight="1" x14ac:dyDescent="0.25">
      <c r="B1" s="1" t="s">
        <v>0</v>
      </c>
      <c r="D1" s="90" t="s">
        <v>17</v>
      </c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ht="20.100000000000001" customHeight="1" x14ac:dyDescent="0.25">
      <c r="A2" s="4" t="s">
        <v>3</v>
      </c>
      <c r="B2" s="3">
        <f>E2+F2/60</f>
        <v>43.31666666666667</v>
      </c>
      <c r="D2" s="14" t="s">
        <v>3</v>
      </c>
      <c r="E2" s="15">
        <v>43</v>
      </c>
      <c r="F2" s="61">
        <v>19</v>
      </c>
      <c r="G2" s="16" t="s">
        <v>6</v>
      </c>
      <c r="H2" s="7"/>
      <c r="I2" s="32"/>
      <c r="J2" s="17"/>
      <c r="K2" s="7"/>
      <c r="L2" s="60"/>
      <c r="M2" s="7"/>
      <c r="N2" s="8"/>
    </row>
    <row r="3" spans="1:14" ht="20.100000000000001" customHeight="1" x14ac:dyDescent="0.25">
      <c r="A3" s="4" t="s">
        <v>4</v>
      </c>
      <c r="B3" s="3">
        <f>E3+F3/60</f>
        <v>23.243333333333332</v>
      </c>
      <c r="D3" s="18" t="s">
        <v>4</v>
      </c>
      <c r="E3" s="19">
        <v>23</v>
      </c>
      <c r="F3" s="62">
        <v>14.6</v>
      </c>
      <c r="G3" s="20" t="s">
        <v>6</v>
      </c>
      <c r="H3" s="9"/>
      <c r="I3" s="23"/>
      <c r="J3" s="43"/>
      <c r="K3" s="45" t="s">
        <v>23</v>
      </c>
      <c r="L3" s="56"/>
      <c r="M3" s="9"/>
      <c r="N3" s="52" t="s">
        <v>14</v>
      </c>
    </row>
    <row r="4" spans="1:14" ht="20.100000000000001" customHeight="1" thickBot="1" x14ac:dyDescent="0.3">
      <c r="A4" s="4" t="s">
        <v>8</v>
      </c>
      <c r="B4" s="3"/>
      <c r="D4" s="18" t="s">
        <v>8</v>
      </c>
      <c r="E4" s="21" t="str">
        <f>IF(G2=G3,"Same","Contrary")</f>
        <v>Same</v>
      </c>
      <c r="F4" s="22"/>
      <c r="G4" s="9"/>
      <c r="H4" s="9"/>
      <c r="I4" s="23" t="s">
        <v>1</v>
      </c>
      <c r="J4" s="44" t="s">
        <v>25</v>
      </c>
      <c r="K4" s="46">
        <f>ROUND(I10+I11,4)</f>
        <v>0.33150000000000002</v>
      </c>
      <c r="L4" s="56" t="s">
        <v>24</v>
      </c>
      <c r="M4" s="44" t="s">
        <v>25</v>
      </c>
      <c r="N4" s="54" t="str">
        <f>K11</f>
        <v>78º 26'</v>
      </c>
    </row>
    <row r="5" spans="1:14" ht="20.100000000000001" customHeight="1" x14ac:dyDescent="0.25">
      <c r="A5" s="4" t="s">
        <v>5</v>
      </c>
      <c r="B5" s="3">
        <f>E5+F5/60</f>
        <v>263.95999999999998</v>
      </c>
      <c r="D5" s="18" t="s">
        <v>5</v>
      </c>
      <c r="E5" s="19">
        <v>263</v>
      </c>
      <c r="F5" s="62">
        <v>57.6</v>
      </c>
      <c r="G5" s="9"/>
      <c r="H5" s="9" t="s">
        <v>16</v>
      </c>
      <c r="I5" s="30">
        <f>POWER(SIN(RADIANS(B5/2)),2)</f>
        <v>0.55261137250029857</v>
      </c>
      <c r="J5" s="9"/>
      <c r="K5" s="47">
        <f>K3-K4</f>
        <v>0.66849999999999998</v>
      </c>
      <c r="L5" s="57" t="s">
        <v>26</v>
      </c>
      <c r="M5" s="55" t="s">
        <v>13</v>
      </c>
      <c r="N5" s="53" t="str">
        <f>TEXT(INT((B10)),"#º")&amp;TEXT(60*((B10)-INT((B10)))," #'")</f>
        <v>11º 34'</v>
      </c>
    </row>
    <row r="6" spans="1:14" ht="20.100000000000001" customHeight="1" thickBot="1" x14ac:dyDescent="0.3">
      <c r="A6" s="4" t="s">
        <v>18</v>
      </c>
      <c r="B6" s="89">
        <f>IF(B5&gt;180,360-B5,B5)</f>
        <v>96.04000000000002</v>
      </c>
      <c r="D6" s="24" t="s">
        <v>18</v>
      </c>
      <c r="E6" s="25" t="str">
        <f>TEXT(INT((B6)),"#º")&amp;TEXT(60*((B6)-INT((B6)))," #.0'")</f>
        <v>96º 2.4'</v>
      </c>
      <c r="F6" s="26"/>
      <c r="G6" s="9"/>
      <c r="H6" s="9"/>
      <c r="I6" s="31">
        <f>POWER(SIN(RADIANS(B6/2)),2)</f>
        <v>0.55261137250029824</v>
      </c>
      <c r="J6" s="44" t="s">
        <v>15</v>
      </c>
      <c r="K6" s="48">
        <f>ROUND(I5,4)</f>
        <v>0.55259999999999998</v>
      </c>
      <c r="L6" s="56" t="s">
        <v>16</v>
      </c>
      <c r="M6" s="9"/>
      <c r="N6" s="10"/>
    </row>
    <row r="7" spans="1:14" ht="20.100000000000001" customHeight="1" x14ac:dyDescent="0.25">
      <c r="A7" s="4" t="s">
        <v>7</v>
      </c>
      <c r="B7" s="3">
        <f>B3+B2</f>
        <v>66.56</v>
      </c>
      <c r="D7" s="24" t="s">
        <v>7</v>
      </c>
      <c r="E7" s="25" t="str">
        <f>TEXT(INT((B7)),"#º")&amp;TEXT(60*((B7)-INT((B7)))," #.0'")</f>
        <v>66º 33.6'</v>
      </c>
      <c r="F7" s="9"/>
      <c r="G7" s="9"/>
      <c r="H7" s="9"/>
      <c r="I7" s="30">
        <f>POWER(SIN(RADIANS(B7/2)),2)</f>
        <v>0.30110574630102521</v>
      </c>
      <c r="J7" s="9"/>
      <c r="K7" s="49">
        <f>K5*K6</f>
        <v>0.36941309999999999</v>
      </c>
      <c r="L7" s="57" t="s">
        <v>27</v>
      </c>
      <c r="M7" s="13"/>
      <c r="N7" s="10"/>
    </row>
    <row r="8" spans="1:14" ht="20.100000000000001" customHeight="1" x14ac:dyDescent="0.25">
      <c r="A8" s="4" t="s">
        <v>9</v>
      </c>
      <c r="B8" s="3">
        <f>B2-B3</f>
        <v>20.073333333333338</v>
      </c>
      <c r="D8" s="28" t="s">
        <v>9</v>
      </c>
      <c r="E8" s="27" t="str">
        <f>TEXT(INT((B8)),"#º")&amp;TEXT(60*((B8)-INT((B8)))," #.0'")</f>
        <v>20º 4.4'</v>
      </c>
      <c r="F8" s="29"/>
      <c r="G8" s="9"/>
      <c r="H8" s="9"/>
      <c r="I8" s="30">
        <f>POWER(SIN(RADIANS(B8/2)),2)</f>
        <v>3.0372951569078321E-2</v>
      </c>
      <c r="K8" s="50">
        <f>ROUND(K7,4)</f>
        <v>0.36940000000000001</v>
      </c>
      <c r="L8" s="56"/>
      <c r="M8" s="9"/>
      <c r="N8" s="10"/>
    </row>
    <row r="9" spans="1:14" ht="20.100000000000001" customHeight="1" thickBot="1" x14ac:dyDescent="0.3">
      <c r="A9" s="63" t="s">
        <v>12</v>
      </c>
      <c r="B9" s="2">
        <f>DEGREES(2*ASIN(SQRT(K10)))</f>
        <v>78.441181315638275</v>
      </c>
      <c r="C9" s="3"/>
      <c r="D9" s="66" t="s">
        <v>20</v>
      </c>
      <c r="E9" s="35" t="s">
        <v>19</v>
      </c>
      <c r="F9" s="36"/>
      <c r="G9" s="9"/>
      <c r="H9" s="9"/>
      <c r="I9" s="23"/>
      <c r="J9" s="44" t="s">
        <v>28</v>
      </c>
      <c r="K9" s="48">
        <f>ROUND(I10,4)</f>
        <v>3.04E-2</v>
      </c>
      <c r="L9" s="56" t="s">
        <v>10</v>
      </c>
      <c r="M9" s="9"/>
      <c r="N9" s="10"/>
    </row>
    <row r="10" spans="1:14" ht="20.100000000000001" customHeight="1" x14ac:dyDescent="0.25">
      <c r="A10" s="4" t="s">
        <v>13</v>
      </c>
      <c r="B10" s="64">
        <f>90-B9</f>
        <v>11.558818684361725</v>
      </c>
      <c r="C10" s="3"/>
      <c r="D10" s="37" t="s">
        <v>21</v>
      </c>
      <c r="E10" s="38" t="s">
        <v>22</v>
      </c>
      <c r="F10" s="39"/>
      <c r="G10" s="9"/>
      <c r="H10" s="9" t="s">
        <v>10</v>
      </c>
      <c r="I10" s="30">
        <f>IF(E4="Same",I8,I7)</f>
        <v>3.0372951569078321E-2</v>
      </c>
      <c r="J10" s="9"/>
      <c r="K10" s="51">
        <f>K7+K9</f>
        <v>0.39981309999999998</v>
      </c>
      <c r="L10" s="58" t="s">
        <v>2</v>
      </c>
      <c r="N10" s="10"/>
    </row>
    <row r="11" spans="1:14" ht="20.100000000000001" customHeight="1" x14ac:dyDescent="0.25">
      <c r="A11" s="63"/>
      <c r="B11" s="2">
        <f>INT(B10)</f>
        <v>11</v>
      </c>
      <c r="C11" s="65">
        <f>60*(B10-B11)</f>
        <v>33.529121061703506</v>
      </c>
      <c r="D11" s="40" t="s">
        <v>22</v>
      </c>
      <c r="E11" s="41" t="s">
        <v>21</v>
      </c>
      <c r="F11" s="42"/>
      <c r="G11" s="11"/>
      <c r="H11" s="11" t="s">
        <v>11</v>
      </c>
      <c r="I11" s="33">
        <f>IF(E4="Same",I7,I8)</f>
        <v>0.30110574630102521</v>
      </c>
      <c r="J11" s="11"/>
      <c r="K11" s="11" t="str">
        <f>TEXT(INT((B9)),"#º")&amp;TEXT(60*((B9)-INT((B9)))," #'")</f>
        <v>78º 26'</v>
      </c>
      <c r="L11" s="59" t="s">
        <v>12</v>
      </c>
      <c r="M11" s="11"/>
      <c r="N11" s="12"/>
    </row>
    <row r="12" spans="1:14" x14ac:dyDescent="0.25">
      <c r="A12" s="5"/>
    </row>
    <row r="13" spans="1:14" x14ac:dyDescent="0.25">
      <c r="B13" s="6"/>
      <c r="C13" s="6"/>
      <c r="E13" s="83" t="s">
        <v>31</v>
      </c>
      <c r="F13" s="68">
        <f>SIN(RADIANS(B6))*COS(RADIANS(B3))</f>
        <v>0.91373637401404717</v>
      </c>
      <c r="J13" s="3"/>
      <c r="K13" s="3"/>
    </row>
    <row r="14" spans="1:14" x14ac:dyDescent="0.25">
      <c r="B14" s="6"/>
      <c r="C14" s="6"/>
      <c r="E14" s="84" t="s">
        <v>29</v>
      </c>
      <c r="F14" s="69">
        <f>DEGREES(ASIN(F13/COS(RADIANS(B10))))</f>
        <v>68.851899189434036</v>
      </c>
      <c r="G14" s="6" t="s">
        <v>30</v>
      </c>
      <c r="J14" s="3" t="s">
        <v>39</v>
      </c>
      <c r="K14" s="3"/>
    </row>
    <row r="15" spans="1:14" x14ac:dyDescent="0.25">
      <c r="B15" s="6"/>
      <c r="C15" s="6"/>
      <c r="D15" s="6"/>
      <c r="E15" s="67" t="s">
        <v>32</v>
      </c>
      <c r="F15" s="87">
        <f>360-F14</f>
        <v>291.14810081056595</v>
      </c>
      <c r="G15" s="70" t="s">
        <v>33</v>
      </c>
      <c r="J15" s="3" t="s">
        <v>40</v>
      </c>
      <c r="K15" s="3"/>
    </row>
    <row r="16" spans="1:14" x14ac:dyDescent="0.25">
      <c r="B16" s="6"/>
      <c r="C16" s="6"/>
      <c r="D16" s="6"/>
      <c r="F16" s="87">
        <f>180+F14</f>
        <v>248.85189918943405</v>
      </c>
      <c r="G16" s="70" t="s">
        <v>34</v>
      </c>
      <c r="J16" s="3" t="s">
        <v>41</v>
      </c>
      <c r="K16" s="3"/>
    </row>
    <row r="17" spans="2:11" x14ac:dyDescent="0.25">
      <c r="B17" s="6"/>
      <c r="C17" s="6"/>
      <c r="D17" s="6"/>
      <c r="F17" s="87">
        <f>180-F14</f>
        <v>111.14810081056596</v>
      </c>
      <c r="G17" s="70" t="s">
        <v>35</v>
      </c>
      <c r="J17" s="3" t="s">
        <v>42</v>
      </c>
      <c r="K17" s="3"/>
    </row>
    <row r="18" spans="2:11" x14ac:dyDescent="0.25">
      <c r="J18" s="3"/>
      <c r="K18" s="3"/>
    </row>
  </sheetData>
  <mergeCells count="1">
    <mergeCell ref="D1:N1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&amp;C&amp;F - &amp;A&amp;R&amp;P/&amp;N</oddHeader>
  </headerFooter>
  <ignoredErrors>
    <ignoredError sqref="K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zoomScaleNormal="100" workbookViewId="0">
      <selection activeCell="M1" sqref="M1"/>
    </sheetView>
  </sheetViews>
  <sheetFormatPr baseColWidth="10" defaultColWidth="9.140625" defaultRowHeight="15" x14ac:dyDescent="0.25"/>
  <cols>
    <col min="1" max="1" width="9.140625" style="80"/>
    <col min="2" max="2" width="11.28515625" style="72" customWidth="1"/>
    <col min="3" max="3" width="9.140625" style="80"/>
    <col min="4" max="4" width="3" style="80" bestFit="1" customWidth="1"/>
    <col min="5" max="5" width="11" style="80" bestFit="1" customWidth="1"/>
    <col min="6" max="6" width="2.7109375" style="80" customWidth="1"/>
    <col min="7" max="7" width="4.5703125" style="80" bestFit="1" customWidth="1"/>
    <col min="8" max="8" width="3" style="80" bestFit="1" customWidth="1"/>
    <col min="9" max="9" width="2.7109375" style="80" customWidth="1"/>
    <col min="10" max="10" width="3" style="80" bestFit="1" customWidth="1"/>
    <col min="11" max="11" width="12" style="80" bestFit="1" customWidth="1"/>
    <col min="12" max="12" width="2.7109375" style="80" customWidth="1"/>
    <col min="13" max="13" width="9.140625" style="80"/>
    <col min="14" max="14" width="3" style="80" bestFit="1" customWidth="1"/>
    <col min="15" max="16384" width="9.140625" style="80"/>
  </cols>
  <sheetData>
    <row r="1" spans="1:14" s="73" customFormat="1" x14ac:dyDescent="0.25">
      <c r="A1" s="71" t="s">
        <v>4</v>
      </c>
      <c r="B1" s="72">
        <f>'SR index card'!B3</f>
        <v>23.243333333333332</v>
      </c>
      <c r="D1" s="85"/>
      <c r="E1" s="86" t="s">
        <v>13</v>
      </c>
      <c r="G1" s="86" t="s">
        <v>36</v>
      </c>
      <c r="H1" s="85"/>
      <c r="J1" s="85"/>
      <c r="K1" s="85" t="s">
        <v>38</v>
      </c>
      <c r="M1" s="85" t="s">
        <v>18</v>
      </c>
      <c r="N1" s="85"/>
    </row>
    <row r="2" spans="1:14" s="73" customFormat="1" x14ac:dyDescent="0.25">
      <c r="A2" s="71" t="s">
        <v>5</v>
      </c>
      <c r="B2" s="72">
        <f>'SR index card'!B5</f>
        <v>263.95999999999998</v>
      </c>
      <c r="D2" s="73">
        <v>0</v>
      </c>
      <c r="E2" s="73">
        <f>B5</f>
        <v>11.558818684361725</v>
      </c>
      <c r="G2" s="74">
        <f>B6</f>
        <v>68.851899189434036</v>
      </c>
      <c r="H2" s="73">
        <v>0</v>
      </c>
      <c r="J2" s="73">
        <v>0</v>
      </c>
      <c r="K2" s="73">
        <f>B1</f>
        <v>23.243333333333332</v>
      </c>
      <c r="M2" s="88">
        <f>180-B3</f>
        <v>83.95999999999998</v>
      </c>
      <c r="N2" s="73">
        <v>0</v>
      </c>
    </row>
    <row r="3" spans="1:14" s="73" customFormat="1" x14ac:dyDescent="0.25">
      <c r="A3" s="71" t="s">
        <v>18</v>
      </c>
      <c r="B3" s="73">
        <f>'SR index card'!B6</f>
        <v>96.04000000000002</v>
      </c>
      <c r="D3" s="73">
        <v>90</v>
      </c>
      <c r="E3" s="73">
        <f>E2</f>
        <v>11.558818684361725</v>
      </c>
      <c r="G3" s="74">
        <f>G2</f>
        <v>68.851899189434036</v>
      </c>
      <c r="H3" s="73">
        <v>90</v>
      </c>
      <c r="J3" s="73">
        <v>90</v>
      </c>
      <c r="K3" s="73">
        <f>K2</f>
        <v>23.243333333333332</v>
      </c>
      <c r="M3" s="88">
        <f>M2</f>
        <v>83.95999999999998</v>
      </c>
      <c r="N3" s="73">
        <v>90</v>
      </c>
    </row>
    <row r="4" spans="1:14" s="76" customFormat="1" x14ac:dyDescent="0.25">
      <c r="A4" s="71" t="s">
        <v>37</v>
      </c>
      <c r="B4" s="75">
        <f>'SR index card'!F13</f>
        <v>0.91373637401404717</v>
      </c>
    </row>
    <row r="5" spans="1:14" s="76" customFormat="1" x14ac:dyDescent="0.25">
      <c r="A5" s="71" t="s">
        <v>13</v>
      </c>
      <c r="B5" s="76">
        <f>'SR index card'!B10</f>
        <v>11.558818684361725</v>
      </c>
    </row>
    <row r="6" spans="1:14" s="76" customFormat="1" x14ac:dyDescent="0.25">
      <c r="A6" s="71" t="s">
        <v>36</v>
      </c>
      <c r="B6" s="77">
        <f>'SR index card'!F14</f>
        <v>68.851899189434036</v>
      </c>
    </row>
    <row r="7" spans="1:14" s="76" customFormat="1" x14ac:dyDescent="0.25">
      <c r="A7" s="71" t="s">
        <v>33</v>
      </c>
      <c r="B7" s="78">
        <f>'SR index card'!F15</f>
        <v>291.14810081056595</v>
      </c>
    </row>
    <row r="8" spans="1:14" s="76" customFormat="1" x14ac:dyDescent="0.25">
      <c r="A8" s="71" t="s">
        <v>34</v>
      </c>
      <c r="B8" s="78">
        <f>'SR index card'!F16</f>
        <v>248.85189918943405</v>
      </c>
    </row>
    <row r="9" spans="1:14" s="76" customFormat="1" x14ac:dyDescent="0.25">
      <c r="A9" s="71" t="s">
        <v>35</v>
      </c>
      <c r="B9" s="78">
        <f>'SR index card'!F17</f>
        <v>111.14810081056596</v>
      </c>
    </row>
    <row r="10" spans="1:14" s="73" customFormat="1" x14ac:dyDescent="0.25">
      <c r="A10" s="82" t="s">
        <v>36</v>
      </c>
      <c r="B10" s="82" t="s">
        <v>13</v>
      </c>
    </row>
    <row r="11" spans="1:14" x14ac:dyDescent="0.25">
      <c r="A11" s="79">
        <f t="shared" ref="A11:A74" si="0">DEGREES(ASIN($B$4/COS(RADIANS(B11))))</f>
        <v>66.026908013095692</v>
      </c>
      <c r="B11" s="72">
        <v>0</v>
      </c>
    </row>
    <row r="12" spans="1:14" x14ac:dyDescent="0.25">
      <c r="A12" s="79">
        <f t="shared" si="0"/>
        <v>66.046543238659609</v>
      </c>
      <c r="B12" s="72">
        <v>1</v>
      </c>
    </row>
    <row r="13" spans="1:14" x14ac:dyDescent="0.25">
      <c r="A13" s="79">
        <f t="shared" si="0"/>
        <v>66.105570017422167</v>
      </c>
      <c r="B13" s="72">
        <v>2</v>
      </c>
    </row>
    <row r="14" spans="1:14" x14ac:dyDescent="0.25">
      <c r="A14" s="79">
        <f t="shared" si="0"/>
        <v>66.204354737716542</v>
      </c>
      <c r="B14" s="72">
        <v>3</v>
      </c>
    </row>
    <row r="15" spans="1:14" x14ac:dyDescent="0.25">
      <c r="A15" s="79">
        <f t="shared" si="0"/>
        <v>66.343518509379237</v>
      </c>
      <c r="B15" s="72">
        <v>4</v>
      </c>
    </row>
    <row r="16" spans="1:14" x14ac:dyDescent="0.25">
      <c r="A16" s="79">
        <f t="shared" si="0"/>
        <v>66.52395354007318</v>
      </c>
      <c r="B16" s="72">
        <v>5</v>
      </c>
    </row>
    <row r="17" spans="1:2" x14ac:dyDescent="0.25">
      <c r="A17" s="79">
        <f t="shared" si="0"/>
        <v>66.746847507583936</v>
      </c>
      <c r="B17" s="72">
        <v>6</v>
      </c>
    </row>
    <row r="18" spans="1:2" x14ac:dyDescent="0.25">
      <c r="A18" s="79">
        <f t="shared" si="0"/>
        <v>67.013717576902863</v>
      </c>
      <c r="B18" s="72">
        <v>7</v>
      </c>
    </row>
    <row r="19" spans="1:2" x14ac:dyDescent="0.25">
      <c r="A19" s="79">
        <f t="shared" si="0"/>
        <v>67.326456515877382</v>
      </c>
      <c r="B19" s="72">
        <v>8</v>
      </c>
    </row>
    <row r="20" spans="1:2" x14ac:dyDescent="0.25">
      <c r="A20" s="79">
        <f t="shared" si="0"/>
        <v>67.687394507748465</v>
      </c>
      <c r="B20" s="72">
        <v>9</v>
      </c>
    </row>
    <row r="21" spans="1:2" x14ac:dyDescent="0.25">
      <c r="A21" s="79">
        <f t="shared" si="0"/>
        <v>68.099381949830644</v>
      </c>
      <c r="B21" s="72">
        <v>10</v>
      </c>
    </row>
    <row r="22" spans="1:2" x14ac:dyDescent="0.25">
      <c r="A22" s="79">
        <f t="shared" si="0"/>
        <v>68.565901111467227</v>
      </c>
      <c r="B22" s="72">
        <v>11</v>
      </c>
    </row>
    <row r="23" spans="1:2" x14ac:dyDescent="0.25">
      <c r="A23" s="79">
        <f t="shared" si="0"/>
        <v>69.091218604073063</v>
      </c>
      <c r="B23" s="72">
        <v>12</v>
      </c>
    </row>
    <row r="24" spans="1:2" x14ac:dyDescent="0.25">
      <c r="A24" s="79">
        <f t="shared" si="0"/>
        <v>69.680597281810208</v>
      </c>
      <c r="B24" s="72">
        <v>13</v>
      </c>
    </row>
    <row r="25" spans="1:2" x14ac:dyDescent="0.25">
      <c r="A25" s="79">
        <f t="shared" si="0"/>
        <v>70.340597500823932</v>
      </c>
      <c r="B25" s="72">
        <v>14</v>
      </c>
    </row>
    <row r="26" spans="1:2" x14ac:dyDescent="0.25">
      <c r="A26" s="79">
        <f t="shared" si="0"/>
        <v>71.079517694593449</v>
      </c>
      <c r="B26" s="72">
        <v>15</v>
      </c>
    </row>
    <row r="27" spans="1:2" x14ac:dyDescent="0.25">
      <c r="A27" s="79">
        <f t="shared" si="0"/>
        <v>71.908061519902262</v>
      </c>
      <c r="B27" s="72">
        <v>16</v>
      </c>
    </row>
    <row r="28" spans="1:2" x14ac:dyDescent="0.25">
      <c r="A28" s="79">
        <f t="shared" si="0"/>
        <v>72.840392558836797</v>
      </c>
      <c r="B28" s="72">
        <v>17</v>
      </c>
    </row>
    <row r="29" spans="1:2" x14ac:dyDescent="0.25">
      <c r="A29" s="79">
        <f t="shared" si="0"/>
        <v>73.895894363224116</v>
      </c>
      <c r="B29" s="72">
        <v>18</v>
      </c>
    </row>
    <row r="30" spans="1:2" x14ac:dyDescent="0.25">
      <c r="A30" s="79">
        <f t="shared" si="0"/>
        <v>75.102319120267708</v>
      </c>
      <c r="B30" s="72">
        <v>19</v>
      </c>
    </row>
    <row r="31" spans="1:2" x14ac:dyDescent="0.25">
      <c r="A31" s="79">
        <f t="shared" si="0"/>
        <v>76.501968222015535</v>
      </c>
      <c r="B31" s="72">
        <v>20</v>
      </c>
    </row>
    <row r="32" spans="1:2" x14ac:dyDescent="0.25">
      <c r="A32" s="79">
        <f t="shared" si="0"/>
        <v>78.165518488836938</v>
      </c>
      <c r="B32" s="72">
        <v>21</v>
      </c>
    </row>
    <row r="33" spans="1:2" x14ac:dyDescent="0.25">
      <c r="A33" s="79">
        <f t="shared" si="0"/>
        <v>80.229844731221419</v>
      </c>
      <c r="B33" s="72">
        <v>22</v>
      </c>
    </row>
    <row r="34" spans="1:2" x14ac:dyDescent="0.25">
      <c r="A34" s="79">
        <f t="shared" si="0"/>
        <v>83.047570085668525</v>
      </c>
      <c r="B34" s="72">
        <v>23</v>
      </c>
    </row>
    <row r="35" spans="1:2" x14ac:dyDescent="0.25">
      <c r="A35" s="79" t="e">
        <f t="shared" si="0"/>
        <v>#NUM!</v>
      </c>
      <c r="B35" s="72">
        <v>24</v>
      </c>
    </row>
    <row r="36" spans="1:2" x14ac:dyDescent="0.25">
      <c r="A36" s="79" t="e">
        <f t="shared" si="0"/>
        <v>#NUM!</v>
      </c>
      <c r="B36" s="72">
        <v>25</v>
      </c>
    </row>
    <row r="37" spans="1:2" x14ac:dyDescent="0.25">
      <c r="A37" s="81" t="e">
        <f t="shared" si="0"/>
        <v>#NUM!</v>
      </c>
      <c r="B37" s="72">
        <v>26</v>
      </c>
    </row>
    <row r="38" spans="1:2" x14ac:dyDescent="0.25">
      <c r="A38" s="81" t="e">
        <f t="shared" si="0"/>
        <v>#NUM!</v>
      </c>
      <c r="B38" s="72">
        <v>27</v>
      </c>
    </row>
    <row r="39" spans="1:2" x14ac:dyDescent="0.25">
      <c r="A39" s="81" t="e">
        <f t="shared" si="0"/>
        <v>#NUM!</v>
      </c>
      <c r="B39" s="72">
        <v>28</v>
      </c>
    </row>
    <row r="40" spans="1:2" x14ac:dyDescent="0.25">
      <c r="A40" s="81" t="e">
        <f t="shared" si="0"/>
        <v>#NUM!</v>
      </c>
      <c r="B40" s="72">
        <v>29</v>
      </c>
    </row>
    <row r="41" spans="1:2" x14ac:dyDescent="0.25">
      <c r="A41" s="81" t="e">
        <f t="shared" si="0"/>
        <v>#NUM!</v>
      </c>
      <c r="B41" s="72">
        <v>30</v>
      </c>
    </row>
    <row r="42" spans="1:2" x14ac:dyDescent="0.25">
      <c r="A42" s="81" t="e">
        <f t="shared" si="0"/>
        <v>#NUM!</v>
      </c>
      <c r="B42" s="72">
        <v>31</v>
      </c>
    </row>
    <row r="43" spans="1:2" x14ac:dyDescent="0.25">
      <c r="A43" s="81" t="e">
        <f t="shared" si="0"/>
        <v>#NUM!</v>
      </c>
      <c r="B43" s="72">
        <v>32</v>
      </c>
    </row>
    <row r="44" spans="1:2" x14ac:dyDescent="0.25">
      <c r="A44" s="81" t="e">
        <f t="shared" si="0"/>
        <v>#NUM!</v>
      </c>
      <c r="B44" s="72">
        <v>33</v>
      </c>
    </row>
    <row r="45" spans="1:2" x14ac:dyDescent="0.25">
      <c r="A45" s="81" t="e">
        <f t="shared" si="0"/>
        <v>#NUM!</v>
      </c>
      <c r="B45" s="72">
        <v>34</v>
      </c>
    </row>
    <row r="46" spans="1:2" x14ac:dyDescent="0.25">
      <c r="A46" s="81" t="e">
        <f t="shared" si="0"/>
        <v>#NUM!</v>
      </c>
      <c r="B46" s="72">
        <v>35</v>
      </c>
    </row>
    <row r="47" spans="1:2" x14ac:dyDescent="0.25">
      <c r="A47" s="81" t="e">
        <f t="shared" si="0"/>
        <v>#NUM!</v>
      </c>
      <c r="B47" s="72">
        <v>36</v>
      </c>
    </row>
    <row r="48" spans="1:2" x14ac:dyDescent="0.25">
      <c r="A48" s="81" t="e">
        <f t="shared" si="0"/>
        <v>#NUM!</v>
      </c>
      <c r="B48" s="72">
        <v>37</v>
      </c>
    </row>
    <row r="49" spans="1:2" x14ac:dyDescent="0.25">
      <c r="A49" s="81" t="e">
        <f t="shared" si="0"/>
        <v>#NUM!</v>
      </c>
      <c r="B49" s="72">
        <v>38</v>
      </c>
    </row>
    <row r="50" spans="1:2" x14ac:dyDescent="0.25">
      <c r="A50" s="81" t="e">
        <f t="shared" si="0"/>
        <v>#NUM!</v>
      </c>
      <c r="B50" s="72">
        <v>39</v>
      </c>
    </row>
    <row r="51" spans="1:2" x14ac:dyDescent="0.25">
      <c r="A51" s="81" t="e">
        <f t="shared" si="0"/>
        <v>#NUM!</v>
      </c>
      <c r="B51" s="72">
        <v>40</v>
      </c>
    </row>
    <row r="52" spans="1:2" x14ac:dyDescent="0.25">
      <c r="A52" s="81" t="e">
        <f t="shared" si="0"/>
        <v>#NUM!</v>
      </c>
      <c r="B52" s="72">
        <v>41</v>
      </c>
    </row>
    <row r="53" spans="1:2" x14ac:dyDescent="0.25">
      <c r="A53" s="81" t="e">
        <f t="shared" si="0"/>
        <v>#NUM!</v>
      </c>
      <c r="B53" s="72">
        <v>42</v>
      </c>
    </row>
    <row r="54" spans="1:2" x14ac:dyDescent="0.25">
      <c r="A54" s="81" t="e">
        <f t="shared" si="0"/>
        <v>#NUM!</v>
      </c>
      <c r="B54" s="72">
        <v>43</v>
      </c>
    </row>
    <row r="55" spans="1:2" x14ac:dyDescent="0.25">
      <c r="A55" s="81" t="e">
        <f t="shared" si="0"/>
        <v>#NUM!</v>
      </c>
      <c r="B55" s="72">
        <v>44</v>
      </c>
    </row>
    <row r="56" spans="1:2" x14ac:dyDescent="0.25">
      <c r="A56" s="81" t="e">
        <f t="shared" si="0"/>
        <v>#NUM!</v>
      </c>
      <c r="B56" s="72">
        <v>45</v>
      </c>
    </row>
    <row r="57" spans="1:2" x14ac:dyDescent="0.25">
      <c r="A57" s="81" t="e">
        <f t="shared" si="0"/>
        <v>#NUM!</v>
      </c>
      <c r="B57" s="72">
        <v>46</v>
      </c>
    </row>
    <row r="58" spans="1:2" x14ac:dyDescent="0.25">
      <c r="A58" s="81" t="e">
        <f t="shared" si="0"/>
        <v>#NUM!</v>
      </c>
      <c r="B58" s="72">
        <v>47</v>
      </c>
    </row>
    <row r="59" spans="1:2" x14ac:dyDescent="0.25">
      <c r="A59" s="81" t="e">
        <f t="shared" si="0"/>
        <v>#NUM!</v>
      </c>
      <c r="B59" s="72">
        <v>48</v>
      </c>
    </row>
    <row r="60" spans="1:2" x14ac:dyDescent="0.25">
      <c r="A60" s="81" t="e">
        <f t="shared" si="0"/>
        <v>#NUM!</v>
      </c>
      <c r="B60" s="72">
        <v>49</v>
      </c>
    </row>
    <row r="61" spans="1:2" x14ac:dyDescent="0.25">
      <c r="A61" s="81" t="e">
        <f t="shared" si="0"/>
        <v>#NUM!</v>
      </c>
      <c r="B61" s="72">
        <v>50</v>
      </c>
    </row>
    <row r="62" spans="1:2" x14ac:dyDescent="0.25">
      <c r="A62" s="81" t="e">
        <f t="shared" si="0"/>
        <v>#NUM!</v>
      </c>
      <c r="B62" s="72">
        <v>51</v>
      </c>
    </row>
    <row r="63" spans="1:2" x14ac:dyDescent="0.25">
      <c r="A63" s="81" t="e">
        <f t="shared" si="0"/>
        <v>#NUM!</v>
      </c>
      <c r="B63" s="72">
        <v>52</v>
      </c>
    </row>
    <row r="64" spans="1:2" x14ac:dyDescent="0.25">
      <c r="A64" s="81" t="e">
        <f t="shared" si="0"/>
        <v>#NUM!</v>
      </c>
      <c r="B64" s="72">
        <v>53</v>
      </c>
    </row>
    <row r="65" spans="1:2" x14ac:dyDescent="0.25">
      <c r="A65" s="81" t="e">
        <f t="shared" si="0"/>
        <v>#NUM!</v>
      </c>
      <c r="B65" s="72">
        <v>54</v>
      </c>
    </row>
    <row r="66" spans="1:2" x14ac:dyDescent="0.25">
      <c r="A66" s="81" t="e">
        <f t="shared" si="0"/>
        <v>#NUM!</v>
      </c>
      <c r="B66" s="72">
        <v>55</v>
      </c>
    </row>
    <row r="67" spans="1:2" x14ac:dyDescent="0.25">
      <c r="A67" s="81" t="e">
        <f t="shared" si="0"/>
        <v>#NUM!</v>
      </c>
      <c r="B67" s="72">
        <v>56</v>
      </c>
    </row>
    <row r="68" spans="1:2" x14ac:dyDescent="0.25">
      <c r="A68" s="81" t="e">
        <f t="shared" si="0"/>
        <v>#NUM!</v>
      </c>
      <c r="B68" s="72">
        <v>57</v>
      </c>
    </row>
    <row r="69" spans="1:2" x14ac:dyDescent="0.25">
      <c r="A69" s="81" t="e">
        <f t="shared" si="0"/>
        <v>#NUM!</v>
      </c>
      <c r="B69" s="72">
        <v>58</v>
      </c>
    </row>
    <row r="70" spans="1:2" x14ac:dyDescent="0.25">
      <c r="A70" s="81" t="e">
        <f t="shared" si="0"/>
        <v>#NUM!</v>
      </c>
      <c r="B70" s="72">
        <v>59</v>
      </c>
    </row>
    <row r="71" spans="1:2" x14ac:dyDescent="0.25">
      <c r="A71" s="81" t="e">
        <f t="shared" si="0"/>
        <v>#NUM!</v>
      </c>
      <c r="B71" s="72">
        <v>60</v>
      </c>
    </row>
    <row r="72" spans="1:2" x14ac:dyDescent="0.25">
      <c r="A72" s="81" t="e">
        <f t="shared" si="0"/>
        <v>#NUM!</v>
      </c>
      <c r="B72" s="72">
        <v>61</v>
      </c>
    </row>
    <row r="73" spans="1:2" x14ac:dyDescent="0.25">
      <c r="A73" s="81" t="e">
        <f t="shared" si="0"/>
        <v>#NUM!</v>
      </c>
      <c r="B73" s="72">
        <v>62</v>
      </c>
    </row>
    <row r="74" spans="1:2" x14ac:dyDescent="0.25">
      <c r="A74" s="81" t="e">
        <f t="shared" si="0"/>
        <v>#NUM!</v>
      </c>
      <c r="B74" s="72">
        <v>63</v>
      </c>
    </row>
    <row r="75" spans="1:2" x14ac:dyDescent="0.25">
      <c r="A75" s="81" t="e">
        <f t="shared" ref="A75:A101" si="1">DEGREES(ASIN($B$4/COS(RADIANS(B75))))</f>
        <v>#NUM!</v>
      </c>
      <c r="B75" s="72">
        <v>64</v>
      </c>
    </row>
    <row r="76" spans="1:2" x14ac:dyDescent="0.25">
      <c r="A76" s="81" t="e">
        <f t="shared" si="1"/>
        <v>#NUM!</v>
      </c>
      <c r="B76" s="72">
        <v>65</v>
      </c>
    </row>
    <row r="77" spans="1:2" x14ac:dyDescent="0.25">
      <c r="A77" s="81" t="e">
        <f t="shared" si="1"/>
        <v>#NUM!</v>
      </c>
      <c r="B77" s="72">
        <v>66</v>
      </c>
    </row>
    <row r="78" spans="1:2" x14ac:dyDescent="0.25">
      <c r="A78" s="81" t="e">
        <f t="shared" si="1"/>
        <v>#NUM!</v>
      </c>
      <c r="B78" s="72">
        <v>67</v>
      </c>
    </row>
    <row r="79" spans="1:2" x14ac:dyDescent="0.25">
      <c r="A79" s="81" t="e">
        <f t="shared" si="1"/>
        <v>#NUM!</v>
      </c>
      <c r="B79" s="72">
        <v>68</v>
      </c>
    </row>
    <row r="80" spans="1:2" x14ac:dyDescent="0.25">
      <c r="A80" s="81" t="e">
        <f t="shared" si="1"/>
        <v>#NUM!</v>
      </c>
      <c r="B80" s="72">
        <v>69</v>
      </c>
    </row>
    <row r="81" spans="1:2" x14ac:dyDescent="0.25">
      <c r="A81" s="81" t="e">
        <f t="shared" si="1"/>
        <v>#NUM!</v>
      </c>
      <c r="B81" s="72">
        <v>70</v>
      </c>
    </row>
    <row r="82" spans="1:2" x14ac:dyDescent="0.25">
      <c r="A82" s="81" t="e">
        <f t="shared" si="1"/>
        <v>#NUM!</v>
      </c>
      <c r="B82" s="72">
        <v>71</v>
      </c>
    </row>
    <row r="83" spans="1:2" x14ac:dyDescent="0.25">
      <c r="A83" s="81" t="e">
        <f t="shared" si="1"/>
        <v>#NUM!</v>
      </c>
      <c r="B83" s="72">
        <v>72</v>
      </c>
    </row>
    <row r="84" spans="1:2" x14ac:dyDescent="0.25">
      <c r="A84" s="81" t="e">
        <f t="shared" si="1"/>
        <v>#NUM!</v>
      </c>
      <c r="B84" s="72">
        <v>73</v>
      </c>
    </row>
    <row r="85" spans="1:2" x14ac:dyDescent="0.25">
      <c r="A85" s="81" t="e">
        <f t="shared" si="1"/>
        <v>#NUM!</v>
      </c>
      <c r="B85" s="72">
        <v>74</v>
      </c>
    </row>
    <row r="86" spans="1:2" x14ac:dyDescent="0.25">
      <c r="A86" s="81" t="e">
        <f t="shared" si="1"/>
        <v>#NUM!</v>
      </c>
      <c r="B86" s="72">
        <v>75</v>
      </c>
    </row>
    <row r="87" spans="1:2" x14ac:dyDescent="0.25">
      <c r="A87" s="81" t="e">
        <f t="shared" si="1"/>
        <v>#NUM!</v>
      </c>
      <c r="B87" s="72">
        <v>76</v>
      </c>
    </row>
    <row r="88" spans="1:2" x14ac:dyDescent="0.25">
      <c r="A88" s="81" t="e">
        <f t="shared" si="1"/>
        <v>#NUM!</v>
      </c>
      <c r="B88" s="72">
        <v>77</v>
      </c>
    </row>
    <row r="89" spans="1:2" x14ac:dyDescent="0.25">
      <c r="A89" s="81" t="e">
        <f t="shared" si="1"/>
        <v>#NUM!</v>
      </c>
      <c r="B89" s="72">
        <v>78</v>
      </c>
    </row>
    <row r="90" spans="1:2" x14ac:dyDescent="0.25">
      <c r="A90" s="81" t="e">
        <f t="shared" si="1"/>
        <v>#NUM!</v>
      </c>
      <c r="B90" s="72">
        <v>79</v>
      </c>
    </row>
    <row r="91" spans="1:2" x14ac:dyDescent="0.25">
      <c r="A91" s="81" t="e">
        <f t="shared" si="1"/>
        <v>#NUM!</v>
      </c>
      <c r="B91" s="72">
        <v>80</v>
      </c>
    </row>
    <row r="92" spans="1:2" x14ac:dyDescent="0.25">
      <c r="A92" s="81" t="e">
        <f t="shared" si="1"/>
        <v>#NUM!</v>
      </c>
      <c r="B92" s="72">
        <v>81</v>
      </c>
    </row>
    <row r="93" spans="1:2" x14ac:dyDescent="0.25">
      <c r="A93" s="81" t="e">
        <f t="shared" si="1"/>
        <v>#NUM!</v>
      </c>
      <c r="B93" s="72">
        <v>82</v>
      </c>
    </row>
    <row r="94" spans="1:2" x14ac:dyDescent="0.25">
      <c r="A94" s="81" t="e">
        <f t="shared" si="1"/>
        <v>#NUM!</v>
      </c>
      <c r="B94" s="72">
        <v>83</v>
      </c>
    </row>
    <row r="95" spans="1:2" x14ac:dyDescent="0.25">
      <c r="A95" s="81" t="e">
        <f t="shared" si="1"/>
        <v>#NUM!</v>
      </c>
      <c r="B95" s="72">
        <v>84</v>
      </c>
    </row>
    <row r="96" spans="1:2" x14ac:dyDescent="0.25">
      <c r="A96" s="81" t="e">
        <f t="shared" si="1"/>
        <v>#NUM!</v>
      </c>
      <c r="B96" s="72">
        <v>85</v>
      </c>
    </row>
    <row r="97" spans="1:2" x14ac:dyDescent="0.25">
      <c r="A97" s="81" t="e">
        <f t="shared" si="1"/>
        <v>#NUM!</v>
      </c>
      <c r="B97" s="72">
        <v>86</v>
      </c>
    </row>
    <row r="98" spans="1:2" x14ac:dyDescent="0.25">
      <c r="A98" s="81" t="e">
        <f t="shared" si="1"/>
        <v>#NUM!</v>
      </c>
      <c r="B98" s="72">
        <v>87</v>
      </c>
    </row>
    <row r="99" spans="1:2" x14ac:dyDescent="0.25">
      <c r="A99" s="81" t="e">
        <f t="shared" si="1"/>
        <v>#NUM!</v>
      </c>
      <c r="B99" s="72">
        <v>88</v>
      </c>
    </row>
    <row r="100" spans="1:2" x14ac:dyDescent="0.25">
      <c r="A100" s="81" t="e">
        <f t="shared" si="1"/>
        <v>#NUM!</v>
      </c>
      <c r="B100" s="72">
        <v>89</v>
      </c>
    </row>
    <row r="101" spans="1:2" x14ac:dyDescent="0.25">
      <c r="A101" s="81" t="e">
        <f t="shared" si="1"/>
        <v>#NUM!</v>
      </c>
      <c r="B101" s="72">
        <v>90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SR index card</vt:lpstr>
      <vt:lpstr>Zn(dec, LHA, Hc)</vt:lpstr>
      <vt:lpstr>'SR index card'!Área_de_impresión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2015-06-19T07:33:22Z</dcterms:modified>
</cp:coreProperties>
</file>