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25" windowHeight="7965" activeTab="4"/>
  </bookViews>
  <sheets>
    <sheet name="Distance Calc" sheetId="6" r:id="rId1"/>
    <sheet name="Time Sights" sheetId="5" r:id="rId2"/>
    <sheet name="Dist to Go" sheetId="9" r:id="rId3"/>
    <sheet name="DR Calc" sheetId="8" r:id="rId4"/>
    <sheet name="Passage" sheetId="10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7" i="10" l="1"/>
  <c r="AA27" i="10" s="1"/>
  <c r="AB27" i="10" s="1"/>
  <c r="Z26" i="10"/>
  <c r="AA26" i="10" s="1"/>
  <c r="Z25" i="10"/>
  <c r="Z21" i="10"/>
  <c r="AA21" i="10" s="1"/>
  <c r="Z18" i="10"/>
  <c r="Z17" i="10"/>
  <c r="Z16" i="10"/>
  <c r="AA16" i="10" s="1"/>
  <c r="AB16" i="10" s="1"/>
  <c r="Z15" i="10"/>
  <c r="Z11" i="10"/>
  <c r="Z10" i="10"/>
  <c r="AB5" i="10"/>
  <c r="AA5" i="10"/>
  <c r="Z5" i="10"/>
  <c r="Y27" i="10"/>
  <c r="Y26" i="10"/>
  <c r="Y25" i="10"/>
  <c r="Y21" i="10"/>
  <c r="Y18" i="10"/>
  <c r="Y16" i="10"/>
  <c r="Y15" i="10"/>
  <c r="Y6" i="10"/>
  <c r="Y5" i="10"/>
  <c r="X27" i="10"/>
  <c r="X26" i="10"/>
  <c r="X25" i="10"/>
  <c r="X21" i="10"/>
  <c r="X18" i="10"/>
  <c r="X17" i="10"/>
  <c r="Y17" i="10" s="1"/>
  <c r="X16" i="10"/>
  <c r="X15" i="10"/>
  <c r="X11" i="10"/>
  <c r="Y11" i="10" s="1"/>
  <c r="X10" i="10"/>
  <c r="Y10" i="10" s="1"/>
  <c r="X6" i="10"/>
  <c r="X5" i="10"/>
  <c r="AB26" i="10" l="1"/>
  <c r="AA25" i="10"/>
  <c r="AB25" i="10" s="1"/>
  <c r="AB21" i="10"/>
  <c r="AA18" i="10"/>
  <c r="AB18" i="10" s="1"/>
  <c r="AA17" i="10"/>
  <c r="AB17" i="10" s="1"/>
  <c r="AA15" i="10"/>
  <c r="AB15" i="10" s="1"/>
  <c r="AA11" i="10"/>
  <c r="AB11" i="10" s="1"/>
  <c r="AA10" i="10"/>
  <c r="AB10" i="10" s="1"/>
  <c r="N55" i="5" l="1"/>
  <c r="M55" i="5" s="1"/>
  <c r="M87" i="5"/>
  <c r="M77" i="5"/>
  <c r="M67" i="5"/>
  <c r="M43" i="5"/>
  <c r="M30" i="5"/>
  <c r="M17" i="5"/>
  <c r="M4" i="5"/>
  <c r="N87" i="5"/>
  <c r="N77" i="5"/>
  <c r="N67" i="5"/>
  <c r="N43" i="5"/>
  <c r="N30" i="5"/>
  <c r="N17" i="5"/>
  <c r="N4" i="5"/>
  <c r="H23" i="10"/>
  <c r="E23" i="10" s="1"/>
  <c r="N21" i="10"/>
  <c r="N18" i="10"/>
  <c r="N12" i="10"/>
  <c r="J8" i="10"/>
  <c r="H8" i="10"/>
  <c r="E8" i="10" s="1"/>
  <c r="L3" i="10"/>
  <c r="P2" i="10"/>
  <c r="P3" i="10" s="1"/>
  <c r="L2" i="10"/>
  <c r="H2" i="10"/>
  <c r="E2" i="10" s="1"/>
  <c r="F2" i="10" s="1"/>
  <c r="P4" i="10" l="1"/>
  <c r="M3" i="10"/>
  <c r="N3" i="10" s="1"/>
  <c r="G2" i="10"/>
  <c r="I3" i="10"/>
  <c r="F8" i="10"/>
  <c r="G8" i="10" s="1"/>
  <c r="F23" i="10"/>
  <c r="G23" i="10" s="1"/>
  <c r="M4" i="10" l="1"/>
  <c r="N4" i="10" s="1"/>
  <c r="J3" i="10"/>
  <c r="L4" i="10" s="1"/>
  <c r="I4" i="10" l="1"/>
  <c r="J4" i="10" s="1"/>
  <c r="M5" i="8" l="1"/>
  <c r="O5" i="8" s="1"/>
  <c r="M4" i="8"/>
  <c r="O4" i="8" s="1"/>
  <c r="R4" i="8" s="1"/>
  <c r="M6" i="8"/>
  <c r="O6" i="8" s="1"/>
  <c r="R6" i="8" s="1"/>
  <c r="P5" i="8" l="1"/>
  <c r="Q5" i="8" s="1"/>
  <c r="S4" i="8"/>
  <c r="T4" i="8" s="1"/>
  <c r="P4" i="8"/>
  <c r="Q4" i="8" s="1"/>
  <c r="U4" i="8" s="1"/>
  <c r="S6" i="8"/>
  <c r="T6" i="8" s="1"/>
  <c r="P6" i="8"/>
  <c r="Q6" i="8" s="1"/>
  <c r="U6" i="8" s="1"/>
  <c r="J13" i="9"/>
  <c r="R13" i="9" s="1"/>
  <c r="K13" i="9"/>
  <c r="S13" i="9" s="1"/>
  <c r="T13" i="9" s="1"/>
  <c r="V4" i="8" l="1"/>
  <c r="W4" i="8" s="1"/>
  <c r="V6" i="8"/>
  <c r="W6" i="8" s="1"/>
  <c r="K16" i="9"/>
  <c r="J16" i="9"/>
  <c r="K15" i="9"/>
  <c r="J15" i="9"/>
  <c r="K14" i="9"/>
  <c r="J14" i="9"/>
  <c r="J12" i="9"/>
  <c r="K12" i="9"/>
  <c r="J11" i="9"/>
  <c r="K11" i="9"/>
  <c r="I9" i="6"/>
  <c r="J10" i="9"/>
  <c r="K10" i="9"/>
  <c r="K3" i="9"/>
  <c r="K4" i="9"/>
  <c r="K5" i="9"/>
  <c r="K2" i="9"/>
  <c r="J3" i="9"/>
  <c r="J4" i="9"/>
  <c r="J5" i="9"/>
  <c r="J2" i="9"/>
  <c r="O10" i="9" l="1"/>
  <c r="P10" i="9" s="1"/>
  <c r="Q10" i="9" s="1"/>
  <c r="L11" i="9"/>
  <c r="R10" i="9"/>
  <c r="S10" i="9" s="1"/>
  <c r="T10" i="9" s="1"/>
  <c r="R16" i="9"/>
  <c r="S16" i="9" s="1"/>
  <c r="T16" i="9" s="1"/>
  <c r="O15" i="9"/>
  <c r="P15" i="9" s="1"/>
  <c r="Q15" i="9" s="1"/>
  <c r="O14" i="9"/>
  <c r="P14" i="9" s="1"/>
  <c r="Q14" i="9" s="1"/>
  <c r="R14" i="9"/>
  <c r="S14" i="9" s="1"/>
  <c r="T14" i="9" s="1"/>
  <c r="R12" i="9"/>
  <c r="S12" i="9" s="1"/>
  <c r="T12" i="9" s="1"/>
  <c r="M11" i="9"/>
  <c r="N11" i="9" s="1"/>
  <c r="L10" i="9"/>
  <c r="M10" i="9" s="1"/>
  <c r="N10" i="9" s="1"/>
  <c r="M19" i="8"/>
  <c r="O19" i="8" s="1"/>
  <c r="R19" i="8" s="1"/>
  <c r="M16" i="8"/>
  <c r="O16" i="8" s="1"/>
  <c r="M15" i="8"/>
  <c r="M3" i="8"/>
  <c r="M7" i="8"/>
  <c r="M8" i="8"/>
  <c r="M9" i="8"/>
  <c r="M10" i="8"/>
  <c r="M11" i="8"/>
  <c r="M12" i="8"/>
  <c r="P12" i="8" s="1"/>
  <c r="M13" i="8"/>
  <c r="O13" i="8" s="1"/>
  <c r="P15" i="8" l="1"/>
  <c r="O15" i="8"/>
  <c r="O17" i="8" s="1"/>
  <c r="R17" i="8" s="1"/>
  <c r="S17" i="8" s="1"/>
  <c r="T17" i="8" s="1"/>
  <c r="P19" i="8"/>
  <c r="Q19" i="8" s="1"/>
  <c r="U19" i="8" s="1"/>
  <c r="S19" i="8"/>
  <c r="T19" i="8" s="1"/>
  <c r="P16" i="8"/>
  <c r="P17" i="8" s="1"/>
  <c r="Q17" i="8" s="1"/>
  <c r="U17" i="8" s="1"/>
  <c r="V17" i="8" s="1"/>
  <c r="W17" i="8" s="1"/>
  <c r="O12" i="8"/>
  <c r="O14" i="8" s="1"/>
  <c r="P13" i="8"/>
  <c r="P14" i="8" s="1"/>
  <c r="O10" i="8"/>
  <c r="R10" i="8" s="1"/>
  <c r="P10" i="8"/>
  <c r="O9" i="8"/>
  <c r="R9" i="8" s="1"/>
  <c r="P9" i="8"/>
  <c r="O8" i="8"/>
  <c r="R8" i="8" s="1"/>
  <c r="P8" i="8"/>
  <c r="P7" i="8"/>
  <c r="O7" i="8"/>
  <c r="R7" i="8" s="1"/>
  <c r="P3" i="8"/>
  <c r="O3" i="8"/>
  <c r="R3" i="8" s="1"/>
  <c r="S3" i="8" s="1"/>
  <c r="T3" i="8" s="1"/>
  <c r="Q3" i="8" l="1"/>
  <c r="U3" i="8" s="1"/>
  <c r="V3" i="8" s="1"/>
  <c r="W3" i="8" s="1"/>
  <c r="V19" i="8"/>
  <c r="W19" i="8" s="1"/>
  <c r="Q8" i="8"/>
  <c r="U8" i="8" s="1"/>
  <c r="V8" i="8" s="1"/>
  <c r="W8" i="8" s="1"/>
  <c r="Q10" i="8"/>
  <c r="U10" i="8" s="1"/>
  <c r="V10" i="8" s="1"/>
  <c r="W10" i="8" s="1"/>
  <c r="Q9" i="8"/>
  <c r="U9" i="8" s="1"/>
  <c r="V9" i="8" s="1"/>
  <c r="W9" i="8" s="1"/>
  <c r="Q7" i="8"/>
  <c r="U7" i="8" s="1"/>
  <c r="V7" i="8" s="1"/>
  <c r="W7" i="8" s="1"/>
  <c r="S10" i="8"/>
  <c r="T10" i="8" s="1"/>
  <c r="S9" i="8"/>
  <c r="T9" i="8" s="1"/>
  <c r="S8" i="8"/>
  <c r="T8" i="8" s="1"/>
  <c r="S7" i="8"/>
  <c r="T7" i="8" s="1"/>
  <c r="G17" i="6" l="1"/>
  <c r="G15" i="6"/>
  <c r="G13" i="6"/>
  <c r="E13" i="6"/>
  <c r="E12" i="6"/>
  <c r="E11" i="6"/>
  <c r="B9" i="6"/>
  <c r="C9" i="6" s="1"/>
  <c r="E9" i="6"/>
  <c r="E8" i="6"/>
  <c r="C8" i="6"/>
  <c r="C6" i="6"/>
  <c r="E6" i="6" s="1"/>
  <c r="E7" i="6" s="1"/>
  <c r="E5" i="6"/>
  <c r="C5" i="6"/>
  <c r="B5" i="6"/>
  <c r="I5" i="6"/>
  <c r="G4" i="6"/>
  <c r="C4" i="6"/>
  <c r="I3" i="6"/>
  <c r="J3" i="6"/>
  <c r="J2" i="6"/>
  <c r="I2" i="6"/>
  <c r="K89" i="5"/>
  <c r="L89" i="5" s="1"/>
  <c r="J89" i="5" s="1"/>
  <c r="K88" i="5"/>
  <c r="L88" i="5" s="1"/>
  <c r="J88" i="5" s="1"/>
  <c r="E88" i="5"/>
  <c r="K87" i="5"/>
  <c r="E87" i="5"/>
  <c r="K79" i="5"/>
  <c r="L79" i="5" s="1"/>
  <c r="J79" i="5" s="1"/>
  <c r="L78" i="5"/>
  <c r="J78" i="5" s="1"/>
  <c r="K78" i="5"/>
  <c r="E78" i="5"/>
  <c r="K77" i="5"/>
  <c r="E77" i="5"/>
  <c r="E67" i="5"/>
  <c r="K67" i="5"/>
  <c r="E68" i="5"/>
  <c r="E69" i="5" s="1"/>
  <c r="K68" i="5"/>
  <c r="L68" i="5" s="1"/>
  <c r="J68" i="5" s="1"/>
  <c r="K69" i="5"/>
  <c r="L69" i="5" s="1"/>
  <c r="J69" i="5" s="1"/>
  <c r="K57" i="5"/>
  <c r="L57" i="5" s="1"/>
  <c r="J57" i="5" s="1"/>
  <c r="K56" i="5"/>
  <c r="L56" i="5" s="1"/>
  <c r="J56" i="5" s="1"/>
  <c r="E56" i="5"/>
  <c r="K55" i="5"/>
  <c r="E55" i="5"/>
  <c r="K45" i="5"/>
  <c r="K44" i="5"/>
  <c r="L44" i="5" s="1"/>
  <c r="J44" i="5" s="1"/>
  <c r="E44" i="5"/>
  <c r="K43" i="5"/>
  <c r="E43" i="5"/>
  <c r="J31" i="5"/>
  <c r="J18" i="5"/>
  <c r="K32" i="5"/>
  <c r="L32" i="5" s="1"/>
  <c r="J32" i="5" s="1"/>
  <c r="K31" i="5"/>
  <c r="L31" i="5" s="1"/>
  <c r="E31" i="5"/>
  <c r="K30" i="5"/>
  <c r="E30" i="5"/>
  <c r="H19" i="5"/>
  <c r="K19" i="5" s="1"/>
  <c r="L19" i="5" s="1"/>
  <c r="J19" i="5" s="1"/>
  <c r="K18" i="5"/>
  <c r="L18" i="5" s="1"/>
  <c r="E18" i="5"/>
  <c r="K17" i="5"/>
  <c r="K21" i="5" s="1"/>
  <c r="E17" i="5"/>
  <c r="K6" i="5"/>
  <c r="L6" i="5" s="1"/>
  <c r="J6" i="5" s="1"/>
  <c r="K5" i="5"/>
  <c r="L5" i="5" s="1"/>
  <c r="J5" i="5" s="1"/>
  <c r="E5" i="5"/>
  <c r="K4" i="5"/>
  <c r="E4" i="5"/>
  <c r="E19" i="5" l="1"/>
  <c r="E79" i="5"/>
  <c r="K91" i="5"/>
  <c r="E89" i="5"/>
  <c r="K81" i="5"/>
  <c r="K92" i="5"/>
  <c r="H91" i="5"/>
  <c r="I91" i="5" s="1"/>
  <c r="B89" i="5"/>
  <c r="C89" i="5" s="1"/>
  <c r="K82" i="5"/>
  <c r="H81" i="5"/>
  <c r="I81" i="5" s="1"/>
  <c r="B79" i="5"/>
  <c r="K71" i="5"/>
  <c r="H71" i="5" s="1"/>
  <c r="I71" i="5" s="1"/>
  <c r="B69" i="5"/>
  <c r="C69" i="5" s="1"/>
  <c r="K72" i="5"/>
  <c r="K59" i="5"/>
  <c r="K60" i="5" s="1"/>
  <c r="E57" i="5"/>
  <c r="B57" i="5"/>
  <c r="K47" i="5"/>
  <c r="K48" i="5" s="1"/>
  <c r="E45" i="5"/>
  <c r="B45" i="5" s="1"/>
  <c r="C45" i="5" s="1"/>
  <c r="L45" i="5"/>
  <c r="J45" i="5" s="1"/>
  <c r="E32" i="5"/>
  <c r="K34" i="5"/>
  <c r="K35" i="5" s="1"/>
  <c r="H34" i="5"/>
  <c r="I34" i="5" s="1"/>
  <c r="B32" i="5"/>
  <c r="C32" i="5" s="1"/>
  <c r="B19" i="5"/>
  <c r="K22" i="5"/>
  <c r="H21" i="5"/>
  <c r="I21" i="5" s="1"/>
  <c r="E6" i="5"/>
  <c r="B6" i="5" s="1"/>
  <c r="C6" i="5" s="1"/>
  <c r="K8" i="5"/>
  <c r="D89" i="5" l="1"/>
  <c r="K93" i="5"/>
  <c r="L92" i="5"/>
  <c r="H92" i="5"/>
  <c r="I92" i="5" s="1"/>
  <c r="C79" i="5"/>
  <c r="D79" i="5" s="1"/>
  <c r="K83" i="5"/>
  <c r="L82" i="5"/>
  <c r="H82" i="5"/>
  <c r="I82" i="5" s="1"/>
  <c r="D69" i="5"/>
  <c r="H72" i="5"/>
  <c r="I72" i="5" s="1"/>
  <c r="L72" i="5"/>
  <c r="K73" i="5"/>
  <c r="H59" i="5"/>
  <c r="I59" i="5" s="1"/>
  <c r="C57" i="5"/>
  <c r="D57" i="5" s="1"/>
  <c r="K61" i="5"/>
  <c r="L60" i="5"/>
  <c r="H60" i="5"/>
  <c r="I60" i="5" s="1"/>
  <c r="H47" i="5"/>
  <c r="I47" i="5" s="1"/>
  <c r="D45" i="5"/>
  <c r="K49" i="5"/>
  <c r="L48" i="5"/>
  <c r="H48" i="5"/>
  <c r="I48" i="5" s="1"/>
  <c r="D32" i="5"/>
  <c r="K36" i="5"/>
  <c r="L35" i="5"/>
  <c r="J35" i="5" s="1"/>
  <c r="H35" i="5"/>
  <c r="I35" i="5" s="1"/>
  <c r="C19" i="5"/>
  <c r="D19" i="5" s="1"/>
  <c r="K23" i="5"/>
  <c r="L22" i="5"/>
  <c r="J22" i="5" s="1"/>
  <c r="H22" i="5"/>
  <c r="I22" i="5" s="1"/>
  <c r="D6" i="5"/>
  <c r="K9" i="5"/>
  <c r="H8" i="5"/>
  <c r="I8" i="5" s="1"/>
  <c r="J92" i="5" l="1"/>
  <c r="L93" i="5"/>
  <c r="J93" i="5" s="1"/>
  <c r="H93" i="5"/>
  <c r="I93" i="5" s="1"/>
  <c r="H83" i="5"/>
  <c r="I83" i="5" s="1"/>
  <c r="L83" i="5"/>
  <c r="J83" i="5" s="1"/>
  <c r="J82" i="5"/>
  <c r="H73" i="5"/>
  <c r="I73" i="5" s="1"/>
  <c r="L73" i="5"/>
  <c r="J73" i="5" s="1"/>
  <c r="J72" i="5"/>
  <c r="J60" i="5"/>
  <c r="L61" i="5"/>
  <c r="J61" i="5" s="1"/>
  <c r="H61" i="5"/>
  <c r="I61" i="5" s="1"/>
  <c r="L49" i="5"/>
  <c r="J49" i="5" s="1"/>
  <c r="H49" i="5"/>
  <c r="I49" i="5" s="1"/>
  <c r="J48" i="5"/>
  <c r="H36" i="5"/>
  <c r="I36" i="5" s="1"/>
  <c r="L36" i="5"/>
  <c r="J36" i="5" s="1"/>
  <c r="J37" i="5" s="1"/>
  <c r="L23" i="5"/>
  <c r="J23" i="5" s="1"/>
  <c r="J24" i="5" s="1"/>
  <c r="H23" i="5"/>
  <c r="I23" i="5" s="1"/>
  <c r="L24" i="5"/>
  <c r="K24" i="5" s="1"/>
  <c r="E21" i="5" s="1"/>
  <c r="E22" i="5" s="1"/>
  <c r="E23" i="5" s="1"/>
  <c r="K10" i="5"/>
  <c r="L9" i="5"/>
  <c r="J9" i="5" s="1"/>
  <c r="H9" i="5"/>
  <c r="I9" i="5" s="1"/>
  <c r="L50" i="5" l="1"/>
  <c r="K50" i="5" s="1"/>
  <c r="E47" i="5" s="1"/>
  <c r="E48" i="5" s="1"/>
  <c r="E49" i="5" s="1"/>
  <c r="L84" i="5"/>
  <c r="K84" i="5" s="1"/>
  <c r="E81" i="5" s="1"/>
  <c r="E82" i="5" s="1"/>
  <c r="E83" i="5" s="1"/>
  <c r="J94" i="5"/>
  <c r="L94" i="5"/>
  <c r="K94" i="5" s="1"/>
  <c r="E91" i="5" s="1"/>
  <c r="J84" i="5"/>
  <c r="L74" i="5"/>
  <c r="K74" i="5" s="1"/>
  <c r="E71" i="5" s="1"/>
  <c r="B71" i="5" s="1"/>
  <c r="C71" i="5" s="1"/>
  <c r="J74" i="5"/>
  <c r="J62" i="5"/>
  <c r="L62" i="5"/>
  <c r="K62" i="5" s="1"/>
  <c r="E59" i="5" s="1"/>
  <c r="J50" i="5"/>
  <c r="B47" i="5"/>
  <c r="L37" i="5"/>
  <c r="K37" i="5" s="1"/>
  <c r="E34" i="5" s="1"/>
  <c r="E35" i="5" s="1"/>
  <c r="E36" i="5" s="1"/>
  <c r="L10" i="5"/>
  <c r="J10" i="5" s="1"/>
  <c r="J11" i="5" s="1"/>
  <c r="H10" i="5"/>
  <c r="I10" i="5" s="1"/>
  <c r="B81" i="5" l="1"/>
  <c r="C81" i="5" s="1"/>
  <c r="D81" i="5" s="1"/>
  <c r="E92" i="5"/>
  <c r="E93" i="5" s="1"/>
  <c r="B91" i="5"/>
  <c r="B82" i="5"/>
  <c r="E72" i="5"/>
  <c r="D71" i="5"/>
  <c r="B59" i="5"/>
  <c r="C59" i="5" s="1"/>
  <c r="E60" i="5"/>
  <c r="E61" i="5" s="1"/>
  <c r="C47" i="5"/>
  <c r="D47" i="5" s="1"/>
  <c r="B48" i="5"/>
  <c r="B34" i="5"/>
  <c r="L11" i="5"/>
  <c r="K11" i="5" s="1"/>
  <c r="E8" i="5" s="1"/>
  <c r="E9" i="5" l="1"/>
  <c r="B72" i="5"/>
  <c r="C72" i="5" s="1"/>
  <c r="E73" i="5"/>
  <c r="B73" i="5" s="1"/>
  <c r="C73" i="5" s="1"/>
  <c r="D73" i="5" s="1"/>
  <c r="C82" i="5"/>
  <c r="D82" i="5" s="1"/>
  <c r="C91" i="5"/>
  <c r="D91" i="5" s="1"/>
  <c r="B92" i="5"/>
  <c r="B83" i="5"/>
  <c r="C83" i="5" s="1"/>
  <c r="D72" i="5"/>
  <c r="D59" i="5"/>
  <c r="B60" i="5"/>
  <c r="C60" i="5" s="1"/>
  <c r="D60" i="5" s="1"/>
  <c r="C34" i="5"/>
  <c r="D34" i="5" s="1"/>
  <c r="C48" i="5"/>
  <c r="D48" i="5" s="1"/>
  <c r="B49" i="5"/>
  <c r="B35" i="5"/>
  <c r="B8" i="5"/>
  <c r="C8" i="5" s="1"/>
  <c r="D8" i="5" l="1"/>
  <c r="E10" i="5"/>
  <c r="D83" i="5"/>
  <c r="B93" i="5"/>
  <c r="C92" i="5"/>
  <c r="D92" i="5" s="1"/>
  <c r="B61" i="5"/>
  <c r="C35" i="5"/>
  <c r="D35" i="5" s="1"/>
  <c r="C49" i="5"/>
  <c r="D49" i="5" s="1"/>
  <c r="B36" i="5"/>
  <c r="B9" i="5"/>
  <c r="C93" i="5" l="1"/>
  <c r="D93" i="5" s="1"/>
  <c r="C61" i="5"/>
  <c r="D61" i="5" s="1"/>
  <c r="C36" i="5"/>
  <c r="D36" i="5" s="1"/>
  <c r="C9" i="5"/>
  <c r="D9" i="5" s="1"/>
  <c r="B10" i="5"/>
  <c r="C10" i="5" s="1"/>
  <c r="D10" i="5" l="1"/>
  <c r="B23" i="5" l="1"/>
  <c r="B21" i="5"/>
  <c r="B22" i="5"/>
  <c r="C23" i="5" l="1"/>
  <c r="D23" i="5"/>
  <c r="C22" i="5"/>
  <c r="D22" i="5" s="1"/>
  <c r="C21" i="5"/>
  <c r="D21" i="5" s="1"/>
</calcChain>
</file>

<file path=xl/sharedStrings.xml><?xml version="1.0" encoding="utf-8"?>
<sst xmlns="http://schemas.openxmlformats.org/spreadsheetml/2006/main" count="329" uniqueCount="72">
  <si>
    <t>S</t>
  </si>
  <si>
    <t>W</t>
  </si>
  <si>
    <t>h</t>
  </si>
  <si>
    <t>N</t>
  </si>
  <si>
    <t>AM</t>
  </si>
  <si>
    <t>m</t>
  </si>
  <si>
    <t>s</t>
  </si>
  <si>
    <t>Greenwich Mean Time</t>
  </si>
  <si>
    <t>Equation of Time</t>
  </si>
  <si>
    <t>Greenwich Apparent Time</t>
  </si>
  <si>
    <t>S = h + L + pd</t>
  </si>
  <si>
    <t>S/2</t>
  </si>
  <si>
    <t>S/2 - h</t>
  </si>
  <si>
    <t>Local Apparent Time</t>
  </si>
  <si>
    <t>Difference</t>
  </si>
  <si>
    <t>Longitude</t>
  </si>
  <si>
    <t>°</t>
  </si>
  <si>
    <t>ʹ</t>
  </si>
  <si>
    <t>Altitude, h</t>
  </si>
  <si>
    <t>Latitude, L</t>
  </si>
  <si>
    <r>
      <t xml:space="preserve">polar distance, pd = </t>
    </r>
    <r>
      <rPr>
        <sz val="11"/>
        <color theme="1"/>
        <rFont val="Calibri"/>
        <family val="2"/>
      </rPr>
      <t>δ-(-90°)</t>
    </r>
  </si>
  <si>
    <t>Cape Belsham</t>
  </si>
  <si>
    <t>46' W of Wallis</t>
  </si>
  <si>
    <t>Cos M(iddle Latitude)</t>
  </si>
  <si>
    <t>Log D Long</t>
  </si>
  <si>
    <t>-Log D Lat</t>
  </si>
  <si>
    <t>=Tan Co</t>
  </si>
  <si>
    <t>Sec C</t>
  </si>
  <si>
    <t>+logDLat</t>
  </si>
  <si>
    <t>=</t>
  </si>
  <si>
    <t>To Wallis</t>
  </si>
  <si>
    <t>To Leith Harb</t>
  </si>
  <si>
    <r>
      <t>(46'=27</t>
    </r>
    <r>
      <rPr>
        <vertAlign val="super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)</t>
    </r>
  </si>
  <si>
    <t>Course</t>
  </si>
  <si>
    <t>D. Lat.</t>
  </si>
  <si>
    <t>Dist.</t>
  </si>
  <si>
    <t>Dep.</t>
  </si>
  <si>
    <t>D. Lon.</t>
  </si>
  <si>
    <t>Wallis</t>
  </si>
  <si>
    <t>E</t>
  </si>
  <si>
    <t>Bird Island</t>
  </si>
  <si>
    <t>W of Wallis</t>
  </si>
  <si>
    <t>Distance</t>
  </si>
  <si>
    <r>
      <t>46'(=27</t>
    </r>
    <r>
      <rPr>
        <vertAlign val="super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) W of Wallis</t>
    </r>
  </si>
  <si>
    <t>Initial Position</t>
  </si>
  <si>
    <t>DR Position</t>
  </si>
  <si>
    <t>Adds lat rather than subtracts but does not use</t>
  </si>
  <si>
    <r>
      <t>NNE 8</t>
    </r>
    <r>
      <rPr>
        <vertAlign val="superscript"/>
        <sz val="11"/>
        <color theme="1"/>
        <rFont val="Calibri"/>
        <family val="2"/>
        <scheme val="minor"/>
      </rPr>
      <t>m</t>
    </r>
  </si>
  <si>
    <r>
      <t>E 1</t>
    </r>
    <r>
      <rPr>
        <vertAlign val="superscript"/>
        <sz val="11"/>
        <color theme="1"/>
        <rFont val="Calibri"/>
        <family val="2"/>
        <scheme val="minor"/>
      </rPr>
      <t>m</t>
    </r>
  </si>
  <si>
    <r>
      <t>Mean of Courses to Noon on 25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N64</t>
    </r>
    <r>
      <rPr>
        <vertAlign val="superscript"/>
        <sz val="11"/>
        <color theme="1"/>
        <rFont val="Calibri"/>
        <family val="2"/>
        <scheme val="minor"/>
      </rPr>
      <t>m</t>
    </r>
  </si>
  <si>
    <t>Time Sight</t>
  </si>
  <si>
    <t>Estimated Position</t>
  </si>
  <si>
    <t>Noon Sight</t>
  </si>
  <si>
    <t>DR N45E110</t>
  </si>
  <si>
    <r>
      <t>Chron slow 1</t>
    </r>
    <r>
      <rPr>
        <vertAlign val="super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4' </t>
    </r>
    <r>
      <rPr>
        <sz val="11"/>
        <color theme="1"/>
        <rFont val="Symbol"/>
        <family val="1"/>
        <charset val="2"/>
      </rPr>
      <t>Þ</t>
    </r>
    <r>
      <rPr>
        <sz val="11"/>
        <color theme="1"/>
        <rFont val="Calibri"/>
        <family val="2"/>
      </rPr>
      <t xml:space="preserve"> add 16' longitude</t>
    </r>
  </si>
  <si>
    <t>N35E85DR</t>
  </si>
  <si>
    <r>
      <t>DR N40°E 30</t>
    </r>
    <r>
      <rPr>
        <vertAlign val="superscript"/>
        <sz val="11"/>
        <color theme="1"/>
        <rFont val="Calibri"/>
        <family val="2"/>
        <scheme val="minor"/>
      </rPr>
      <t>m</t>
    </r>
  </si>
  <si>
    <r>
      <t>DR N50°E 45</t>
    </r>
    <r>
      <rPr>
        <vertAlign val="superscript"/>
        <sz val="11"/>
        <color theme="1"/>
        <rFont val="Calibri"/>
        <family val="2"/>
        <scheme val="minor"/>
      </rPr>
      <t>m</t>
    </r>
  </si>
  <si>
    <t>N55°E 85</t>
  </si>
  <si>
    <t>Noon Sight (Same latitude as DR)</t>
  </si>
  <si>
    <r>
      <t>DR S60</t>
    </r>
    <r>
      <rPr>
        <sz val="11"/>
        <color theme="1"/>
        <rFont val="Calibri"/>
        <family val="2"/>
      </rPr>
      <t>° E 12</t>
    </r>
    <r>
      <rPr>
        <vertAlign val="superscript"/>
        <sz val="11"/>
        <color theme="1"/>
        <rFont val="Calibri"/>
        <family val="2"/>
      </rPr>
      <t>m</t>
    </r>
    <r>
      <rPr>
        <sz val="11"/>
        <color theme="1"/>
        <rFont val="Calibri"/>
        <family val="2"/>
      </rPr>
      <t>; N70°</t>
    </r>
    <r>
      <rPr>
        <sz val="11"/>
        <color theme="1"/>
        <rFont val="Calibri"/>
        <family val="2"/>
        <scheme val="minor"/>
      </rPr>
      <t xml:space="preserve"> E 28</t>
    </r>
  </si>
  <si>
    <t>Time Sight (adds 25 to estimate longitude at noon)</t>
  </si>
  <si>
    <r>
      <t>DR N78° E 90</t>
    </r>
    <r>
      <rPr>
        <vertAlign val="super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(from 7 May EP - miscopied longitude)</t>
    </r>
  </si>
  <si>
    <r>
      <t>DR N45°E 70</t>
    </r>
    <r>
      <rPr>
        <vertAlign val="super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(from 3 May EP)</t>
    </r>
  </si>
  <si>
    <r>
      <t>DR N35</t>
    </r>
    <r>
      <rPr>
        <sz val="11"/>
        <color theme="1"/>
        <rFont val="Calibri"/>
        <family val="2"/>
      </rPr>
      <t>°E 78 mile (from 29 April EP)</t>
    </r>
  </si>
  <si>
    <t>Azimuth</t>
  </si>
  <si>
    <t>Chron Rate Error
Secs Fast</t>
  </si>
  <si>
    <t>Minutes of Arc</t>
  </si>
  <si>
    <t>Nautical Miles</t>
  </si>
  <si>
    <t>MIN</t>
  </si>
  <si>
    <t>DEG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</si>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</sst>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00.00"/>
    <numFmt numFmtId="166" formatCode="[$-809]dd\ mmmm\ yyyy;@"/>
    <numFmt numFmtId="167" formatCode="0.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/>
    <xf numFmtId="165" fontId="0" fillId="0" borderId="0" xfId="0" applyNumberFormat="1" applyFill="1"/>
    <xf numFmtId="2" fontId="0" fillId="0" borderId="0" xfId="0" applyNumberFormat="1" applyFill="1"/>
    <xf numFmtId="0" fontId="1" fillId="0" borderId="0" xfId="0" applyFont="1" applyFill="1" applyAlignment="1">
      <alignment horizontal="right"/>
    </xf>
    <xf numFmtId="1" fontId="0" fillId="0" borderId="0" xfId="0" applyNumberFormat="1"/>
    <xf numFmtId="0" fontId="2" fillId="0" borderId="0" xfId="0" applyFont="1"/>
    <xf numFmtId="166" fontId="3" fillId="0" borderId="0" xfId="0" applyNumberFormat="1" applyFont="1"/>
    <xf numFmtId="165" fontId="2" fillId="0" borderId="0" xfId="0" applyNumberFormat="1" applyFont="1" applyFill="1"/>
    <xf numFmtId="1" fontId="4" fillId="0" borderId="0" xfId="0" applyNumberFormat="1" applyFont="1"/>
    <xf numFmtId="0" fontId="5" fillId="0" borderId="0" xfId="0" applyFont="1"/>
    <xf numFmtId="0" fontId="0" fillId="0" borderId="0" xfId="0" quotePrefix="1"/>
    <xf numFmtId="0" fontId="0" fillId="0" borderId="1" xfId="0" applyBorder="1"/>
    <xf numFmtId="167" fontId="0" fillId="0" borderId="0" xfId="0" applyNumberFormat="1"/>
    <xf numFmtId="0" fontId="7" fillId="0" borderId="0" xfId="0" applyFont="1"/>
    <xf numFmtId="1" fontId="2" fillId="0" borderId="0" xfId="0" applyNumberFormat="1" applyFont="1"/>
    <xf numFmtId="164" fontId="2" fillId="0" borderId="0" xfId="0" applyNumberFormat="1" applyFont="1"/>
    <xf numFmtId="164" fontId="4" fillId="0" borderId="0" xfId="0" applyNumberFormat="1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Fill="1" applyBorder="1"/>
    <xf numFmtId="0" fontId="0" fillId="0" borderId="2" xfId="0" applyFill="1" applyBorder="1"/>
    <xf numFmtId="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2" xfId="0" applyNumberFormat="1" applyBorder="1"/>
    <xf numFmtId="164" fontId="0" fillId="2" borderId="2" xfId="0" applyNumberForma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workbookViewId="0">
      <selection activeCell="K16" sqref="K16"/>
    </sheetView>
  </sheetViews>
  <sheetFormatPr defaultRowHeight="15" x14ac:dyDescent="0.25"/>
  <cols>
    <col min="1" max="1" width="19.42578125" customWidth="1"/>
    <col min="4" max="4" width="2.28515625" customWidth="1"/>
    <col min="5" max="5" width="9.85546875" customWidth="1"/>
    <col min="6" max="6" width="5.42578125" customWidth="1"/>
  </cols>
  <sheetData>
    <row r="2" spans="1:10" ht="14.45" x14ac:dyDescent="0.35">
      <c r="A2" t="s">
        <v>21</v>
      </c>
      <c r="B2">
        <v>61</v>
      </c>
      <c r="C2">
        <v>4</v>
      </c>
      <c r="D2" t="s">
        <v>0</v>
      </c>
      <c r="F2">
        <v>54</v>
      </c>
      <c r="G2">
        <v>50</v>
      </c>
      <c r="H2" t="s">
        <v>1</v>
      </c>
      <c r="I2">
        <f>B2+C2/60</f>
        <v>61.06666666666667</v>
      </c>
      <c r="J2">
        <f>F2+G2/60</f>
        <v>54.833333333333336</v>
      </c>
    </row>
    <row r="3" spans="1:10" ht="14.45" x14ac:dyDescent="0.35">
      <c r="A3" t="s">
        <v>22</v>
      </c>
      <c r="B3">
        <v>54</v>
      </c>
      <c r="C3">
        <v>4</v>
      </c>
      <c r="F3">
        <v>39</v>
      </c>
      <c r="G3">
        <v>0</v>
      </c>
      <c r="I3">
        <f>B3+C3/60</f>
        <v>54.06666666666667</v>
      </c>
      <c r="J3">
        <f>F3+G3/60</f>
        <v>39</v>
      </c>
    </row>
    <row r="4" spans="1:10" ht="16.5" x14ac:dyDescent="0.35">
      <c r="A4" t="s">
        <v>32</v>
      </c>
      <c r="C4" s="12">
        <f>(I2-I3)*60</f>
        <v>420</v>
      </c>
      <c r="G4" s="12">
        <f>(J2-J3)*60</f>
        <v>950.00000000000011</v>
      </c>
    </row>
    <row r="5" spans="1:10" ht="14.45" x14ac:dyDescent="0.35">
      <c r="A5" t="s">
        <v>23</v>
      </c>
      <c r="B5">
        <f>INT(I5)</f>
        <v>57</v>
      </c>
      <c r="C5">
        <f>(I5-B5)*60</f>
        <v>34.000000000000199</v>
      </c>
      <c r="E5" s="15">
        <f>10+LOG10(COS(RADIANS(I5)))</f>
        <v>9.7294223037176479</v>
      </c>
      <c r="I5">
        <f>(I2+I3)/2</f>
        <v>57.56666666666667</v>
      </c>
    </row>
    <row r="6" spans="1:10" ht="14.45" x14ac:dyDescent="0.35">
      <c r="A6" t="s">
        <v>24</v>
      </c>
      <c r="C6">
        <f>G4</f>
        <v>950.00000000000011</v>
      </c>
      <c r="E6" s="15">
        <f>LOG10(C6)</f>
        <v>2.9777236052888476</v>
      </c>
    </row>
    <row r="7" spans="1:10" ht="14.45" x14ac:dyDescent="0.35">
      <c r="E7" s="15">
        <f>E5+E6</f>
        <v>12.707145909006496</v>
      </c>
    </row>
    <row r="8" spans="1:10" ht="14.45" x14ac:dyDescent="0.35">
      <c r="A8" s="13" t="s">
        <v>25</v>
      </c>
      <c r="C8">
        <f>C4</f>
        <v>420</v>
      </c>
      <c r="E8" s="15">
        <f>LOG10(C8)</f>
        <v>2.6232492903979003</v>
      </c>
    </row>
    <row r="9" spans="1:10" ht="14.45" x14ac:dyDescent="0.35">
      <c r="A9" s="13" t="s">
        <v>26</v>
      </c>
      <c r="B9">
        <f>INT(I9)</f>
        <v>50</v>
      </c>
      <c r="C9" s="7">
        <f>(I9-B9)*60</f>
        <v>30.004228689225556</v>
      </c>
      <c r="E9" s="15">
        <f>E7-E8</f>
        <v>10.083896618608595</v>
      </c>
      <c r="I9">
        <f>DEGREES(ATAN(10^(E9-10)))</f>
        <v>50.500070478153759</v>
      </c>
    </row>
    <row r="10" spans="1:10" ht="14.45" x14ac:dyDescent="0.35">
      <c r="E10" s="15"/>
    </row>
    <row r="11" spans="1:10" ht="14.45" x14ac:dyDescent="0.35">
      <c r="A11" t="s">
        <v>27</v>
      </c>
      <c r="E11" s="15">
        <f>10-LOG10(COS(RADIANS(I9)))</f>
        <v>10.196490122743374</v>
      </c>
    </row>
    <row r="12" spans="1:10" ht="14.45" x14ac:dyDescent="0.35">
      <c r="A12" s="13" t="s">
        <v>28</v>
      </c>
      <c r="E12" s="15">
        <f>E8</f>
        <v>2.6232492903979003</v>
      </c>
    </row>
    <row r="13" spans="1:10" ht="14.45" x14ac:dyDescent="0.35">
      <c r="E13" s="15">
        <f>E11+E12-10</f>
        <v>2.8197394131412743</v>
      </c>
      <c r="F13" s="13" t="s">
        <v>29</v>
      </c>
      <c r="G13" s="17">
        <f>10^E13</f>
        <v>660.29713537809369</v>
      </c>
    </row>
    <row r="14" spans="1:10" thickBot="1" x14ac:dyDescent="0.4">
      <c r="E14" t="s">
        <v>30</v>
      </c>
      <c r="F14" s="13" t="s">
        <v>29</v>
      </c>
      <c r="G14" s="14">
        <v>27</v>
      </c>
    </row>
    <row r="15" spans="1:10" ht="14.45" x14ac:dyDescent="0.35">
      <c r="G15" s="17">
        <f>G13+G14</f>
        <v>687.29713537809369</v>
      </c>
    </row>
    <row r="16" spans="1:10" thickBot="1" x14ac:dyDescent="0.4">
      <c r="E16" t="s">
        <v>31</v>
      </c>
      <c r="G16" s="14">
        <v>62</v>
      </c>
    </row>
    <row r="17" spans="7:7" ht="14.45" x14ac:dyDescent="0.35">
      <c r="G17" s="17">
        <f>G15+G16</f>
        <v>749.29713537809369</v>
      </c>
    </row>
  </sheetData>
  <pageMargins left="0.7" right="0.7" top="0.75" bottom="0.75" header="0.3" footer="0.3"/>
  <ignoredErrors>
    <ignoredError sqref="E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4"/>
  <sheetViews>
    <sheetView workbookViewId="0">
      <selection activeCell="S9" sqref="S9"/>
    </sheetView>
  </sheetViews>
  <sheetFormatPr defaultRowHeight="15" x14ac:dyDescent="0.25"/>
  <cols>
    <col min="1" max="1" width="22.85546875" bestFit="1" customWidth="1"/>
    <col min="3" max="3" width="6.7109375" customWidth="1"/>
    <col min="4" max="4" width="6.5703125" customWidth="1"/>
    <col min="5" max="5" width="8.7109375" style="3" hidden="1" customWidth="1"/>
    <col min="6" max="6" width="3.28515625" style="3" customWidth="1"/>
    <col min="7" max="7" width="24.140625" style="3" bestFit="1" customWidth="1"/>
    <col min="8" max="8" width="5.42578125" style="3" customWidth="1"/>
    <col min="9" max="10" width="8.7109375" style="3"/>
    <col min="11" max="11" width="8.7109375" style="3" hidden="1" customWidth="1"/>
    <col min="12" max="12" width="8.7109375" hidden="1" customWidth="1"/>
    <col min="13" max="13" width="8.7109375" style="2"/>
    <col min="14" max="14" width="0" hidden="1" customWidth="1"/>
  </cols>
  <sheetData>
    <row r="2" spans="1:14" ht="14.45" x14ac:dyDescent="0.35">
      <c r="A2" s="9">
        <v>5959</v>
      </c>
      <c r="M2" s="2" t="s">
        <v>65</v>
      </c>
    </row>
    <row r="3" spans="1:14" x14ac:dyDescent="0.25">
      <c r="B3" s="2" t="s">
        <v>2</v>
      </c>
      <c r="C3" s="2" t="s">
        <v>5</v>
      </c>
      <c r="D3" s="2" t="s">
        <v>6</v>
      </c>
      <c r="H3" s="6" t="s">
        <v>16</v>
      </c>
      <c r="I3" s="6" t="s">
        <v>17</v>
      </c>
      <c r="M3" s="6" t="s">
        <v>16</v>
      </c>
    </row>
    <row r="4" spans="1:14" ht="14.45" x14ac:dyDescent="0.35">
      <c r="A4" t="s">
        <v>7</v>
      </c>
      <c r="B4">
        <v>24</v>
      </c>
      <c r="C4">
        <v>40</v>
      </c>
      <c r="D4">
        <v>1</v>
      </c>
      <c r="E4" s="3">
        <f>(B4+C4/60+D4/3600)</f>
        <v>24.666944444444447</v>
      </c>
      <c r="G4" s="3" t="s">
        <v>18</v>
      </c>
      <c r="H4" s="3">
        <v>8</v>
      </c>
      <c r="I4" s="3">
        <v>21.5</v>
      </c>
      <c r="J4" s="3" t="s">
        <v>4</v>
      </c>
      <c r="K4" s="3">
        <f>H4+I4/60</f>
        <v>8.3583333333333325</v>
      </c>
      <c r="M4" s="25">
        <f>MOD(DEGREES(ATAN2(-L5/TAN(RADIANS(K6))-SIN(RADIANS(-K5))*COS(N4),-SIN(N4))),360)</f>
        <v>43.055128291771432</v>
      </c>
      <c r="N4">
        <f>RADIANS(B8+C8/60+D8/3600-24)*15</f>
        <v>-0.76539959905167976</v>
      </c>
    </row>
    <row r="5" spans="1:14" ht="14.45" x14ac:dyDescent="0.35">
      <c r="A5" t="s">
        <v>8</v>
      </c>
      <c r="C5">
        <v>1</v>
      </c>
      <c r="D5">
        <v>53</v>
      </c>
      <c r="E5" s="3">
        <f>(B5+C5/60+D5/3600)</f>
        <v>3.138888888888889E-2</v>
      </c>
      <c r="G5" s="3" t="s">
        <v>19</v>
      </c>
      <c r="H5" s="3">
        <v>61</v>
      </c>
      <c r="I5" s="3">
        <v>4</v>
      </c>
      <c r="J5" s="4">
        <f>ROUND(-1000*LOG10(L5),2)</f>
        <v>315.33999999999997</v>
      </c>
      <c r="K5" s="3">
        <f>H5+I5/60</f>
        <v>61.06666666666667</v>
      </c>
      <c r="L5">
        <f>COS(RADIANS(K5))</f>
        <v>0.4837916260554963</v>
      </c>
    </row>
    <row r="6" spans="1:14" x14ac:dyDescent="0.25">
      <c r="A6" t="s">
        <v>9</v>
      </c>
      <c r="B6">
        <f>INT(E6)</f>
        <v>24</v>
      </c>
      <c r="C6">
        <f>INT((E6-B6)*60)</f>
        <v>41</v>
      </c>
      <c r="D6">
        <f>(E6-B6-C6/60)*3600</f>
        <v>54.000000000002842</v>
      </c>
      <c r="E6" s="3">
        <f>E4+E5</f>
        <v>24.698333333333334</v>
      </c>
      <c r="G6" s="3" t="s">
        <v>20</v>
      </c>
      <c r="H6" s="3">
        <v>102</v>
      </c>
      <c r="I6" s="3">
        <v>51.5</v>
      </c>
      <c r="J6" s="4">
        <f>ROUND(-1000*LOG10(L6),2)</f>
        <v>11.03</v>
      </c>
      <c r="K6" s="3">
        <f>H6+I6/60</f>
        <v>102.85833333333333</v>
      </c>
      <c r="L6">
        <f>SIN(RADIANS(K6))</f>
        <v>0.97492328849167398</v>
      </c>
    </row>
    <row r="7" spans="1:14" ht="14.45" x14ac:dyDescent="0.35">
      <c r="J7" s="5"/>
    </row>
    <row r="8" spans="1:14" ht="14.45" x14ac:dyDescent="0.35">
      <c r="A8" t="s">
        <v>13</v>
      </c>
      <c r="B8">
        <f>INT(E8)</f>
        <v>21</v>
      </c>
      <c r="C8">
        <f>INT((E8-B8)*60)</f>
        <v>4</v>
      </c>
      <c r="D8">
        <f>(E8-B8-C8/60)*3600</f>
        <v>35.000000000001421</v>
      </c>
      <c r="E8" s="3">
        <f>ROUND((24-K11/15)*3600,0)/3600</f>
        <v>21.076388888888889</v>
      </c>
      <c r="G8" s="3" t="s">
        <v>10</v>
      </c>
      <c r="H8" s="3">
        <f>INT(K8)</f>
        <v>172</v>
      </c>
      <c r="I8" s="3">
        <f>(K8-H8)*60</f>
        <v>16.999999999999886</v>
      </c>
      <c r="J8" s="5"/>
      <c r="K8" s="3">
        <f>SUM(K4:K6)</f>
        <v>172.28333333333333</v>
      </c>
    </row>
    <row r="9" spans="1:14" ht="14.45" x14ac:dyDescent="0.35">
      <c r="A9" t="s">
        <v>14</v>
      </c>
      <c r="B9">
        <f>INT(E9)</f>
        <v>3</v>
      </c>
      <c r="C9">
        <f>INT((E9-B9)*60)</f>
        <v>37</v>
      </c>
      <c r="D9">
        <f>(E9-B9-C9/60)*3600</f>
        <v>19.000000000001371</v>
      </c>
      <c r="E9" s="3">
        <f>MOD(E6-E8,24)</f>
        <v>3.6219444444444449</v>
      </c>
      <c r="G9" s="3" t="s">
        <v>11</v>
      </c>
      <c r="H9" s="3">
        <f>INT(K9)</f>
        <v>86</v>
      </c>
      <c r="I9" s="3">
        <f>(K9-H9)*60</f>
        <v>8.4999999999999432</v>
      </c>
      <c r="J9" s="4">
        <f>ROUND(1000*(10+LOG10(L9)-TRUNC(10+LOG10(L9))),2)</f>
        <v>827.95</v>
      </c>
      <c r="K9" s="3">
        <f>K8/2</f>
        <v>86.141666666666666</v>
      </c>
      <c r="L9">
        <f>COS(RADIANS(K9))</f>
        <v>6.7289736262555161E-2</v>
      </c>
    </row>
    <row r="10" spans="1:14" ht="14.45" x14ac:dyDescent="0.35">
      <c r="A10" t="s">
        <v>15</v>
      </c>
      <c r="B10">
        <f>INT(E10)</f>
        <v>54</v>
      </c>
      <c r="C10">
        <f>INT((E10-B10)*60)</f>
        <v>19</v>
      </c>
      <c r="D10">
        <f>(E10-B10-C10/60)*3600</f>
        <v>45.000000000022226</v>
      </c>
      <c r="E10" s="3">
        <f>E9*15</f>
        <v>54.329166666666673</v>
      </c>
      <c r="G10" s="3" t="s">
        <v>12</v>
      </c>
      <c r="H10" s="3">
        <f>INT(K10)</f>
        <v>77</v>
      </c>
      <c r="I10" s="3">
        <f>(K10-H10)*60</f>
        <v>46.999999999999886</v>
      </c>
      <c r="J10" s="4">
        <f>ROUND(1000*(10+LOG10(L10)-TRUNC(10+LOG10(L10))),2)</f>
        <v>990.05</v>
      </c>
      <c r="K10" s="3">
        <f>K9-K4</f>
        <v>77.783333333333331</v>
      </c>
      <c r="L10">
        <f>SIN(RADIANS(K10))</f>
        <v>0.97735438104298833</v>
      </c>
    </row>
    <row r="11" spans="1:14" ht="14.45" x14ac:dyDescent="0.35">
      <c r="J11" s="4">
        <f>SUM(J5:J10)-1000*TRUNC(SUM(J5:J10)/1000)</f>
        <v>144.36999999999989</v>
      </c>
      <c r="K11" s="3">
        <f>DEGREES(2*ASIN(SQRT(L11)))</f>
        <v>43.852161497653078</v>
      </c>
      <c r="L11">
        <f>(L9*L10)/(L5*L6)</f>
        <v>0.13943509552716229</v>
      </c>
    </row>
    <row r="15" spans="1:14" ht="14.45" x14ac:dyDescent="0.35">
      <c r="A15" s="9">
        <v>5961</v>
      </c>
      <c r="M15" s="2" t="s">
        <v>65</v>
      </c>
    </row>
    <row r="16" spans="1:14" x14ac:dyDescent="0.25">
      <c r="B16" s="2" t="s">
        <v>2</v>
      </c>
      <c r="C16" s="2" t="s">
        <v>5</v>
      </c>
      <c r="D16" s="2" t="s">
        <v>6</v>
      </c>
      <c r="H16" s="6" t="s">
        <v>16</v>
      </c>
      <c r="I16" s="6" t="s">
        <v>17</v>
      </c>
      <c r="M16" s="6" t="s">
        <v>16</v>
      </c>
    </row>
    <row r="17" spans="1:14" ht="14.45" x14ac:dyDescent="0.35">
      <c r="A17" t="s">
        <v>7</v>
      </c>
      <c r="B17">
        <v>2</v>
      </c>
      <c r="C17">
        <v>26</v>
      </c>
      <c r="D17">
        <v>6</v>
      </c>
      <c r="E17" s="3">
        <f>(B17+C17/60+D17/3600)</f>
        <v>2.4350000000000001</v>
      </c>
      <c r="G17" s="3" t="s">
        <v>18</v>
      </c>
      <c r="H17" s="3">
        <v>15</v>
      </c>
      <c r="I17" s="3">
        <v>50</v>
      </c>
      <c r="J17" s="3" t="s">
        <v>4</v>
      </c>
      <c r="K17" s="3">
        <f>H17+I17/60</f>
        <v>15.833333333333334</v>
      </c>
      <c r="M17" s="25">
        <f>MOD(DEGREES(ATAN2(-L18/TAN(RADIANS(K19))-SIN(RADIANS(-K18))*COS(N17),-SIN(N17))),360)</f>
        <v>13.599164441903174</v>
      </c>
      <c r="N17">
        <f>RADIANS(B21+C21/60+D21/3600-24)*15</f>
        <v>-0.2348195064454035</v>
      </c>
    </row>
    <row r="18" spans="1:14" ht="14.45" x14ac:dyDescent="0.35">
      <c r="A18" t="s">
        <v>8</v>
      </c>
      <c r="C18">
        <v>2</v>
      </c>
      <c r="D18">
        <v>15</v>
      </c>
      <c r="E18" s="3">
        <f>(B18+C18/60+D18/3600)</f>
        <v>3.7499999999999999E-2</v>
      </c>
      <c r="G18" s="3" t="s">
        <v>19</v>
      </c>
      <c r="H18" s="3">
        <v>59</v>
      </c>
      <c r="I18" s="3">
        <v>50</v>
      </c>
      <c r="J18" s="4">
        <f>ROUND(-1000*LOG10(L18),2)</f>
        <v>298.85000000000002</v>
      </c>
      <c r="K18" s="3">
        <f>H18+I18/60</f>
        <v>59.833333333333336</v>
      </c>
      <c r="L18">
        <f>COS(RADIANS(K18))</f>
        <v>0.5025170468337099</v>
      </c>
    </row>
    <row r="19" spans="1:14" x14ac:dyDescent="0.25">
      <c r="A19" t="s">
        <v>9</v>
      </c>
      <c r="B19">
        <f>INT(E19)</f>
        <v>2</v>
      </c>
      <c r="C19">
        <f>INT((E19-B19)*60)</f>
        <v>28</v>
      </c>
      <c r="D19">
        <f>(E19-B19-C19/60)*3600</f>
        <v>21.000000000000483</v>
      </c>
      <c r="E19" s="3">
        <f>E17+E18</f>
        <v>2.4725000000000001</v>
      </c>
      <c r="G19" s="3" t="s">
        <v>20</v>
      </c>
      <c r="H19" s="3">
        <f>103</f>
        <v>103</v>
      </c>
      <c r="I19" s="3">
        <v>32</v>
      </c>
      <c r="J19" s="4">
        <f>ROUND(-1000*LOG10(L19),2)</f>
        <v>12.23</v>
      </c>
      <c r="K19" s="3">
        <f>H19+I19/60</f>
        <v>103.53333333333333</v>
      </c>
      <c r="L19">
        <f>SIN(RADIANS(K19))</f>
        <v>0.97223394284190678</v>
      </c>
    </row>
    <row r="20" spans="1:14" ht="14.45" x14ac:dyDescent="0.35">
      <c r="J20" s="5"/>
    </row>
    <row r="21" spans="1:14" ht="14.45" x14ac:dyDescent="0.35">
      <c r="A21" t="s">
        <v>13</v>
      </c>
      <c r="B21">
        <f>INT(E21)</f>
        <v>23</v>
      </c>
      <c r="C21">
        <f>INT((E21-B21)*60)</f>
        <v>6</v>
      </c>
      <c r="D21">
        <f>(E21-B21-C21/60)*3600</f>
        <v>11.000000000003618</v>
      </c>
      <c r="E21" s="3">
        <f>ROUND((24-K24/15)*3600,0)/3600</f>
        <v>23.103055555555557</v>
      </c>
      <c r="G21" s="3" t="s">
        <v>10</v>
      </c>
      <c r="H21" s="3">
        <f>INT(K21)</f>
        <v>179</v>
      </c>
      <c r="I21" s="3">
        <f>(K21-H21)*60</f>
        <v>11.999999999999318</v>
      </c>
      <c r="J21" s="5"/>
      <c r="K21" s="3">
        <f>SUM(K17:K19)</f>
        <v>179.2</v>
      </c>
    </row>
    <row r="22" spans="1:14" ht="14.45" x14ac:dyDescent="0.35">
      <c r="A22" t="s">
        <v>14</v>
      </c>
      <c r="B22">
        <f>INT(E22)</f>
        <v>3</v>
      </c>
      <c r="C22">
        <f>INT((E22-B22)*60)</f>
        <v>22</v>
      </c>
      <c r="D22">
        <f>(E22-B22-C22/60)*3600</f>
        <v>9.999999999996966</v>
      </c>
      <c r="E22" s="3">
        <f>MOD(E19-E21,24)</f>
        <v>3.3694444444444436</v>
      </c>
      <c r="G22" s="3" t="s">
        <v>11</v>
      </c>
      <c r="H22" s="3">
        <f>INT(K22)</f>
        <v>89</v>
      </c>
      <c r="I22" s="3">
        <f>(K22-H22)*60</f>
        <v>35.999999999999659</v>
      </c>
      <c r="J22" s="4">
        <f>ROUND(1000*(10+LOG10(L22)-TRUNC(10+LOG10(L22))),2)</f>
        <v>843.93</v>
      </c>
      <c r="K22" s="3">
        <f>K21/2</f>
        <v>89.6</v>
      </c>
      <c r="L22">
        <f>COS(RADIANS(K22))</f>
        <v>6.9812602979616237E-3</v>
      </c>
    </row>
    <row r="23" spans="1:14" ht="14.45" x14ac:dyDescent="0.35">
      <c r="A23" t="s">
        <v>15</v>
      </c>
      <c r="B23">
        <f>INT(E23)</f>
        <v>50</v>
      </c>
      <c r="C23">
        <f>INT((E23-B23)*60)</f>
        <v>32</v>
      </c>
      <c r="D23">
        <f>(E23-B23-C23/60)*3600</f>
        <v>29.999999999965922</v>
      </c>
      <c r="E23" s="3">
        <f>E22*15</f>
        <v>50.541666666666657</v>
      </c>
      <c r="G23" s="3" t="s">
        <v>12</v>
      </c>
      <c r="H23" s="3">
        <f>INT(K23)</f>
        <v>73</v>
      </c>
      <c r="I23" s="3">
        <f>(K23-H23)*60</f>
        <v>45.999999999999943</v>
      </c>
      <c r="J23" s="4">
        <f>ROUND(1000*(10+LOG10(L23)-TRUNC(10+LOG10(L23))),2)</f>
        <v>982.33</v>
      </c>
      <c r="K23" s="3">
        <f>K22-K17</f>
        <v>73.766666666666666</v>
      </c>
      <c r="L23">
        <f>SIN(RADIANS(K23))</f>
        <v>0.96013121272764002</v>
      </c>
    </row>
    <row r="24" spans="1:14" ht="14.45" x14ac:dyDescent="0.35">
      <c r="J24" s="4">
        <f>SUM(J18:J23)-1000*TRUNC(SUM(J18:J23)/1000)</f>
        <v>137.34000000000015</v>
      </c>
      <c r="K24" s="3">
        <f>DEGREES(2*ASIN(SQRT(L24)))</f>
        <v>13.453092969019929</v>
      </c>
      <c r="L24">
        <f>(L22*L23)/(L18*L19)</f>
        <v>1.3719643968033783E-2</v>
      </c>
    </row>
    <row r="28" spans="1:14" x14ac:dyDescent="0.25">
      <c r="A28" s="9">
        <v>5964</v>
      </c>
      <c r="M28" s="2" t="s">
        <v>65</v>
      </c>
    </row>
    <row r="29" spans="1:14" x14ac:dyDescent="0.25">
      <c r="B29" s="2" t="s">
        <v>2</v>
      </c>
      <c r="C29" s="2" t="s">
        <v>5</v>
      </c>
      <c r="D29" s="2" t="s">
        <v>6</v>
      </c>
      <c r="H29" s="6" t="s">
        <v>16</v>
      </c>
      <c r="I29" s="6" t="s">
        <v>17</v>
      </c>
      <c r="M29" s="6" t="s">
        <v>16</v>
      </c>
    </row>
    <row r="30" spans="1:14" x14ac:dyDescent="0.25">
      <c r="A30" t="s">
        <v>7</v>
      </c>
      <c r="B30">
        <v>24</v>
      </c>
      <c r="C30">
        <v>59</v>
      </c>
      <c r="D30">
        <v>5</v>
      </c>
      <c r="E30" s="3">
        <f>(B30+C30/60+D30/3600)</f>
        <v>24.984722222222224</v>
      </c>
      <c r="G30" s="3" t="s">
        <v>18</v>
      </c>
      <c r="H30" s="3">
        <v>11</v>
      </c>
      <c r="I30" s="3">
        <v>21</v>
      </c>
      <c r="J30" s="3" t="s">
        <v>4</v>
      </c>
      <c r="K30" s="3">
        <f>H30+I30/60</f>
        <v>11.35</v>
      </c>
      <c r="M30" s="25">
        <f>MOD(DEGREES(ATAN2(-L31/TAN(RADIANS(K32))-SIN(RADIANS(-K31))*COS(N30),-SIN(N30))),360)</f>
        <v>34.582071932342657</v>
      </c>
      <c r="N30">
        <f>RADIANS(B34+C34/60+D34/3600-24)*15</f>
        <v>-0.61224695718917721</v>
      </c>
    </row>
    <row r="31" spans="1:14" x14ac:dyDescent="0.25">
      <c r="A31" t="s">
        <v>8</v>
      </c>
      <c r="C31">
        <v>2</v>
      </c>
      <c r="D31">
        <v>42</v>
      </c>
      <c r="E31" s="3">
        <f>(B31+C31/60+D31/3600)</f>
        <v>4.4999999999999998E-2</v>
      </c>
      <c r="G31" s="3" t="s">
        <v>19</v>
      </c>
      <c r="H31" s="3">
        <v>58</v>
      </c>
      <c r="I31" s="3">
        <v>48</v>
      </c>
      <c r="J31" s="4">
        <f>ROUND(-1000*LOG10(L31),2)</f>
        <v>285.64999999999998</v>
      </c>
      <c r="K31" s="3">
        <f>H31+I31/60</f>
        <v>58.8</v>
      </c>
      <c r="L31">
        <f>COS(RADIANS(K31))</f>
        <v>0.51802700937313029</v>
      </c>
    </row>
    <row r="32" spans="1:14" x14ac:dyDescent="0.25">
      <c r="A32" t="s">
        <v>9</v>
      </c>
      <c r="B32">
        <f>INT(E32)</f>
        <v>25</v>
      </c>
      <c r="C32">
        <f>INT((E32-B32)*60)</f>
        <v>1</v>
      </c>
      <c r="D32">
        <f>(E32-B32-C32/60)*3600</f>
        <v>47.000000000013529</v>
      </c>
      <c r="E32" s="3">
        <f>E30+E31</f>
        <v>25.029722222222226</v>
      </c>
      <c r="G32" s="3" t="s">
        <v>20</v>
      </c>
      <c r="H32" s="3">
        <v>104</v>
      </c>
      <c r="I32" s="3">
        <v>28</v>
      </c>
      <c r="J32" s="4">
        <f>ROUND(-1000*LOG10(L32),2)</f>
        <v>13.99</v>
      </c>
      <c r="K32" s="3">
        <f>H32+I32/60</f>
        <v>104.46666666666667</v>
      </c>
      <c r="L32">
        <f>SIN(RADIANS(K32))</f>
        <v>0.96829314171016101</v>
      </c>
    </row>
    <row r="33" spans="1:14" x14ac:dyDescent="0.25">
      <c r="J33" s="5"/>
    </row>
    <row r="34" spans="1:14" x14ac:dyDescent="0.25">
      <c r="A34" t="s">
        <v>13</v>
      </c>
      <c r="B34">
        <f>INT(E34)</f>
        <v>21</v>
      </c>
      <c r="C34">
        <f>INT((E34-B34)*60)</f>
        <v>39</v>
      </c>
      <c r="D34">
        <f>(E34-B34-C34/60)*3600</f>
        <v>41.000000000004412</v>
      </c>
      <c r="E34" s="3">
        <f>ROUND((24-K37/15)*3600,0)/3600</f>
        <v>21.66138888888889</v>
      </c>
      <c r="G34" s="3" t="s">
        <v>10</v>
      </c>
      <c r="H34" s="3">
        <f>INT(K34)</f>
        <v>174</v>
      </c>
      <c r="I34" s="3">
        <f>(K34-H34)*60</f>
        <v>37.000000000000455</v>
      </c>
      <c r="J34" s="5"/>
      <c r="K34" s="3">
        <f>SUM(K30:K32)</f>
        <v>174.61666666666667</v>
      </c>
    </row>
    <row r="35" spans="1:14" x14ac:dyDescent="0.25">
      <c r="A35" t="s">
        <v>14</v>
      </c>
      <c r="B35">
        <f>INT(E35)</f>
        <v>3</v>
      </c>
      <c r="C35">
        <f>INT((E35-B35)*60)</f>
        <v>22</v>
      </c>
      <c r="D35">
        <f>(E35-B35-C35/60)*3600</f>
        <v>6.0000000000091314</v>
      </c>
      <c r="E35" s="3">
        <f>MOD(E32-E34,24)</f>
        <v>3.3683333333333358</v>
      </c>
      <c r="G35" s="3" t="s">
        <v>11</v>
      </c>
      <c r="H35" s="3">
        <f>INT(K35)</f>
        <v>87</v>
      </c>
      <c r="I35" s="3">
        <f>(K35-H35)*60</f>
        <v>18.500000000000227</v>
      </c>
      <c r="J35" s="4">
        <f>ROUND(1000*(10+LOG10(L35)-TRUNC(10+LOG10(L35))),2)</f>
        <v>671.74</v>
      </c>
      <c r="K35" s="3">
        <f>K34/2</f>
        <v>87.308333333333337</v>
      </c>
      <c r="L35">
        <f>COS(RADIANS(K35))</f>
        <v>4.6961167568719188E-2</v>
      </c>
    </row>
    <row r="36" spans="1:14" x14ac:dyDescent="0.25">
      <c r="A36" t="s">
        <v>15</v>
      </c>
      <c r="B36">
        <f>INT(E36)</f>
        <v>50</v>
      </c>
      <c r="C36">
        <f>INT((E36-B36)*60)</f>
        <v>31</v>
      </c>
      <c r="D36" s="8">
        <f>(E36-B36-C36/60)*3600</f>
        <v>30.000000000122597</v>
      </c>
      <c r="E36" s="3">
        <f>E35*15</f>
        <v>50.525000000000034</v>
      </c>
      <c r="G36" s="3" t="s">
        <v>12</v>
      </c>
      <c r="H36" s="3">
        <f>INT(K36)</f>
        <v>75</v>
      </c>
      <c r="I36" s="3">
        <f>(K36-H36)*60</f>
        <v>57.500000000000568</v>
      </c>
      <c r="J36" s="4">
        <f>ROUND(1000*(10+LOG10(L36)-TRUNC(10+LOG10(L36))),2)</f>
        <v>986.83</v>
      </c>
      <c r="K36" s="3">
        <f>K35-K30</f>
        <v>75.958333333333343</v>
      </c>
      <c r="L36">
        <f>SIN(RADIANS(K36))</f>
        <v>0.97011953915409899</v>
      </c>
    </row>
    <row r="37" spans="1:14" x14ac:dyDescent="0.25">
      <c r="J37" s="4">
        <f>SUM(J31:J36)-1000*TRUNC(SUM(J31:J36)/1000)</f>
        <v>958.21</v>
      </c>
      <c r="K37" s="3">
        <f>DEGREES(2*ASIN(SQRT(L37)))</f>
        <v>35.080016070336363</v>
      </c>
      <c r="L37">
        <f>(L35*L36)/(L31*L32)</f>
        <v>9.0824889461925268E-2</v>
      </c>
    </row>
    <row r="41" spans="1:14" x14ac:dyDescent="0.25">
      <c r="A41" s="9">
        <v>5968</v>
      </c>
      <c r="M41" s="2" t="s">
        <v>65</v>
      </c>
    </row>
    <row r="42" spans="1:14" x14ac:dyDescent="0.25">
      <c r="B42" s="2" t="s">
        <v>2</v>
      </c>
      <c r="C42" s="2" t="s">
        <v>5</v>
      </c>
      <c r="D42" s="2" t="s">
        <v>6</v>
      </c>
      <c r="H42" s="6" t="s">
        <v>16</v>
      </c>
      <c r="I42" s="6" t="s">
        <v>17</v>
      </c>
      <c r="M42" s="6" t="s">
        <v>16</v>
      </c>
    </row>
    <row r="43" spans="1:14" x14ac:dyDescent="0.25">
      <c r="A43" t="s">
        <v>7</v>
      </c>
      <c r="B43">
        <v>24</v>
      </c>
      <c r="C43">
        <v>27</v>
      </c>
      <c r="D43">
        <v>55</v>
      </c>
      <c r="E43" s="3">
        <f>(B43+C43/60+D43/3600)</f>
        <v>24.465277777777779</v>
      </c>
      <c r="G43" s="3" t="s">
        <v>18</v>
      </c>
      <c r="H43" s="3">
        <v>11</v>
      </c>
      <c r="I43" s="3">
        <v>14</v>
      </c>
      <c r="J43" s="3" t="s">
        <v>4</v>
      </c>
      <c r="K43" s="3">
        <f>H43+I43/60</f>
        <v>11.233333333333333</v>
      </c>
      <c r="M43" s="25">
        <f>MOD(DEGREES(ATAN2(-L44/TAN(RADIANS(K45))-SIN(RADIANS(-K44))*COS(N43),-SIN(N43))),360)</f>
        <v>37.248031605721707</v>
      </c>
      <c r="N43">
        <f>RADIANS(B47+C47/60+D47/3600-24)*15</f>
        <v>-0.66438866859250789</v>
      </c>
    </row>
    <row r="44" spans="1:14" x14ac:dyDescent="0.25">
      <c r="A44" t="s">
        <v>8</v>
      </c>
      <c r="C44">
        <v>3</v>
      </c>
      <c r="D44">
        <v>11</v>
      </c>
      <c r="E44" s="3">
        <f>(B44+C44/60+D44/3600)</f>
        <v>5.3055555555555557E-2</v>
      </c>
      <c r="G44" s="3" t="s">
        <v>19</v>
      </c>
      <c r="H44" s="3">
        <v>56</v>
      </c>
      <c r="I44" s="3">
        <v>23</v>
      </c>
      <c r="J44" s="4">
        <f>ROUND(-1000*LOG10(L44),2)</f>
        <v>256.77999999999997</v>
      </c>
      <c r="K44" s="3">
        <f>H44+I44/60</f>
        <v>56.383333333333333</v>
      </c>
      <c r="L44">
        <f>COS(RADIANS(K44))</f>
        <v>0.55363381279472135</v>
      </c>
    </row>
    <row r="45" spans="1:14" x14ac:dyDescent="0.25">
      <c r="A45" t="s">
        <v>9</v>
      </c>
      <c r="B45">
        <f>INT(E45)</f>
        <v>24</v>
      </c>
      <c r="C45">
        <f>INT((E45-B45)*60)</f>
        <v>31</v>
      </c>
      <c r="D45">
        <f>(E45-B45-C45/60)*3600</f>
        <v>6.0000000000037357</v>
      </c>
      <c r="E45" s="3">
        <f>E43+E44</f>
        <v>24.518333333333334</v>
      </c>
      <c r="G45" s="3" t="s">
        <v>20</v>
      </c>
      <c r="H45" s="3">
        <v>105</v>
      </c>
      <c r="I45" s="3">
        <v>40</v>
      </c>
      <c r="J45" s="4">
        <f>ROUND(-1000*LOG10(L45),2)</f>
        <v>16.440000000000001</v>
      </c>
      <c r="K45" s="3">
        <f>H45+I45/60</f>
        <v>105.66666666666667</v>
      </c>
      <c r="L45">
        <f>SIN(RADIANS(K45))</f>
        <v>0.96284901245743759</v>
      </c>
    </row>
    <row r="46" spans="1:14" x14ac:dyDescent="0.25">
      <c r="J46" s="5"/>
    </row>
    <row r="47" spans="1:14" x14ac:dyDescent="0.25">
      <c r="A47" t="s">
        <v>13</v>
      </c>
      <c r="B47">
        <f>INT(E47)</f>
        <v>21</v>
      </c>
      <c r="C47">
        <f>INT((E47-B47)*60)</f>
        <v>27</v>
      </c>
      <c r="D47">
        <f>(E47-B47-C47/60)*3600</f>
        <v>44.000000000004277</v>
      </c>
      <c r="E47" s="3">
        <f>ROUND((24-K50/15)*3600,0)/3600</f>
        <v>21.462222222222223</v>
      </c>
      <c r="G47" s="3" t="s">
        <v>10</v>
      </c>
      <c r="H47" s="3">
        <f>INT(K47)</f>
        <v>173</v>
      </c>
      <c r="I47" s="3">
        <f>(K47-H47)*60</f>
        <v>16.999999999999886</v>
      </c>
      <c r="J47" s="5"/>
      <c r="K47" s="3">
        <f>SUM(K43:K45)</f>
        <v>173.28333333333333</v>
      </c>
    </row>
    <row r="48" spans="1:14" x14ac:dyDescent="0.25">
      <c r="A48" t="s">
        <v>14</v>
      </c>
      <c r="B48">
        <f>INT(E48)</f>
        <v>3</v>
      </c>
      <c r="C48">
        <f>INT((E48-B48)*60)</f>
        <v>3</v>
      </c>
      <c r="D48">
        <f>(E48-B48-C48/60)*3600</f>
        <v>21.999999999999591</v>
      </c>
      <c r="E48" s="3">
        <f>MOD(E45-E47,24)</f>
        <v>3.056111111111111</v>
      </c>
      <c r="G48" s="3" t="s">
        <v>11</v>
      </c>
      <c r="H48" s="3">
        <f>INT(K48)</f>
        <v>86</v>
      </c>
      <c r="I48" s="3">
        <f>(K48-H48)*60</f>
        <v>38.499999999999943</v>
      </c>
      <c r="J48" s="4">
        <f>ROUND(1000*(10+LOG10(L48)-TRUNC(10+LOG10(L48))),2)</f>
        <v>767.75</v>
      </c>
      <c r="K48" s="3">
        <f>K47/2</f>
        <v>86.641666666666666</v>
      </c>
      <c r="L48">
        <f>COS(RADIANS(K48))</f>
        <v>5.8580417469460563E-2</v>
      </c>
    </row>
    <row r="49" spans="1:14" x14ac:dyDescent="0.25">
      <c r="A49" t="s">
        <v>15</v>
      </c>
      <c r="B49">
        <f>INT(E49)</f>
        <v>45</v>
      </c>
      <c r="C49">
        <f>INT((E49-B49)*60)</f>
        <v>50</v>
      </c>
      <c r="D49">
        <f>(E49-B49-C49/60)*3600</f>
        <v>30.000000360013111</v>
      </c>
      <c r="E49" s="3">
        <f>E48*15+10^(-10)</f>
        <v>45.84166666676667</v>
      </c>
      <c r="G49" s="3" t="s">
        <v>12</v>
      </c>
      <c r="H49" s="3">
        <f>INT(K49)</f>
        <v>75</v>
      </c>
      <c r="I49" s="3">
        <f>(K49-H49)*60</f>
        <v>24.499999999999886</v>
      </c>
      <c r="J49" s="4">
        <f>ROUND(1000*(10+LOG10(L49)-TRUNC(10+LOG10(L49))),2)</f>
        <v>985.76</v>
      </c>
      <c r="K49" s="3">
        <f>K48-K43</f>
        <v>75.408333333333331</v>
      </c>
      <c r="L49">
        <f>SIN(RADIANS(K49))</f>
        <v>0.96774582224842753</v>
      </c>
    </row>
    <row r="50" spans="1:14" x14ac:dyDescent="0.25">
      <c r="J50" s="4">
        <f>SUM(J44:J49)-1000*TRUNC(SUM(J44:J49)/1000)</f>
        <v>26.730000000000018</v>
      </c>
      <c r="K50" s="3">
        <f>DEGREES(2*ASIN(SQRT(L50)))</f>
        <v>38.065890800492241</v>
      </c>
      <c r="L50">
        <f>(L48*L49)/(L44*L45)</f>
        <v>0.10634889252211939</v>
      </c>
    </row>
    <row r="53" spans="1:14" x14ac:dyDescent="0.25">
      <c r="A53" s="9">
        <v>5969</v>
      </c>
      <c r="M53" s="2" t="s">
        <v>65</v>
      </c>
    </row>
    <row r="54" spans="1:14" x14ac:dyDescent="0.25">
      <c r="B54" s="2" t="s">
        <v>2</v>
      </c>
      <c r="C54" s="2" t="s">
        <v>5</v>
      </c>
      <c r="D54" s="2" t="s">
        <v>6</v>
      </c>
      <c r="H54" s="6" t="s">
        <v>16</v>
      </c>
      <c r="I54" s="6" t="s">
        <v>17</v>
      </c>
      <c r="M54" s="6" t="s">
        <v>16</v>
      </c>
    </row>
    <row r="55" spans="1:14" x14ac:dyDescent="0.25">
      <c r="A55" t="s">
        <v>7</v>
      </c>
      <c r="B55">
        <v>25</v>
      </c>
      <c r="C55">
        <v>19</v>
      </c>
      <c r="D55">
        <v>11</v>
      </c>
      <c r="E55" s="3">
        <f>(B55+C55/60+D55/3600)</f>
        <v>25.319722222222222</v>
      </c>
      <c r="G55" s="3" t="s">
        <v>18</v>
      </c>
      <c r="H55" s="3">
        <v>15</v>
      </c>
      <c r="I55" s="3">
        <v>36</v>
      </c>
      <c r="J55" s="3" t="s">
        <v>4</v>
      </c>
      <c r="K55" s="3">
        <f>H55+I55/60</f>
        <v>15.6</v>
      </c>
      <c r="M55" s="25">
        <f>MOD(DEGREES(ATAN2(-L56/TAN(RADIANS(K57))-SIN(RADIANS(-K56))*COS(N55),-SIN(N55))),360)</f>
        <v>24.170056664576833</v>
      </c>
      <c r="N55">
        <f>RADIANS(B59+C59/60+D59/3600-24)*15</f>
        <v>-0.42266056719129352</v>
      </c>
    </row>
    <row r="56" spans="1:14" x14ac:dyDescent="0.25">
      <c r="A56" t="s">
        <v>8</v>
      </c>
      <c r="C56">
        <v>3</v>
      </c>
      <c r="D56">
        <v>18</v>
      </c>
      <c r="E56" s="3">
        <f>(B56+C56/60+D56/3600)</f>
        <v>5.5E-2</v>
      </c>
      <c r="G56" s="3" t="s">
        <v>19</v>
      </c>
      <c r="H56" s="3">
        <v>55</v>
      </c>
      <c r="I56" s="3">
        <v>34</v>
      </c>
      <c r="J56" s="4">
        <f>ROUND(-1000*LOG10(L56),2)</f>
        <v>247.61</v>
      </c>
      <c r="K56" s="3">
        <f>H56+I56/60</f>
        <v>55.56666666666667</v>
      </c>
      <c r="L56">
        <f>COS(RADIANS(K56))</f>
        <v>0.56544693936234247</v>
      </c>
      <c r="M56" s="25"/>
    </row>
    <row r="57" spans="1:14" x14ac:dyDescent="0.25">
      <c r="A57" t="s">
        <v>9</v>
      </c>
      <c r="B57">
        <f>INT(E57)</f>
        <v>25</v>
      </c>
      <c r="C57">
        <f>INT((E57-B57)*60)</f>
        <v>22</v>
      </c>
      <c r="D57">
        <f>(E57-B57-C57/60)*3600</f>
        <v>28.999999999996739</v>
      </c>
      <c r="E57" s="3">
        <f>E55+E56</f>
        <v>25.374722222222221</v>
      </c>
      <c r="G57" s="3" t="s">
        <v>20</v>
      </c>
      <c r="H57" s="3">
        <v>105</v>
      </c>
      <c r="I57" s="3">
        <v>58</v>
      </c>
      <c r="J57" s="4">
        <f>ROUND(-1000*LOG10(L57),2)</f>
        <v>17.09</v>
      </c>
      <c r="K57" s="3">
        <f>H57+I57/60</f>
        <v>105.96666666666667</v>
      </c>
      <c r="L57">
        <f>SIN(RADIANS(K57))</f>
        <v>0.96142189256648425</v>
      </c>
    </row>
    <row r="58" spans="1:14" x14ac:dyDescent="0.25">
      <c r="J58" s="5"/>
    </row>
    <row r="59" spans="1:14" x14ac:dyDescent="0.25">
      <c r="A59" t="s">
        <v>13</v>
      </c>
      <c r="B59">
        <f>INT(E59)</f>
        <v>22</v>
      </c>
      <c r="C59">
        <f>INT((E59-B59)*60)</f>
        <v>23</v>
      </c>
      <c r="D59">
        <f>(E59-B59-C59/60)*3600</f>
        <v>7.999999999999452</v>
      </c>
      <c r="E59" s="3">
        <f>ROUND((24-K62/15)*3600,0)/3600</f>
        <v>22.385555555555555</v>
      </c>
      <c r="G59" s="3" t="s">
        <v>10</v>
      </c>
      <c r="H59" s="3">
        <f>INT(K59)</f>
        <v>177</v>
      </c>
      <c r="I59" s="3">
        <f>(K59-H59)*60</f>
        <v>7.9999999999995453</v>
      </c>
      <c r="J59" s="5"/>
      <c r="K59" s="3">
        <f>SUM(K55:K57)</f>
        <v>177.13333333333333</v>
      </c>
    </row>
    <row r="60" spans="1:14" x14ac:dyDescent="0.25">
      <c r="A60" t="s">
        <v>14</v>
      </c>
      <c r="B60">
        <f>INT(E60)</f>
        <v>2</v>
      </c>
      <c r="C60">
        <f>INT((E60-B60)*60)</f>
        <v>59</v>
      </c>
      <c r="D60">
        <f>(E60-B60-C60/60)*3600</f>
        <v>20.999999999997286</v>
      </c>
      <c r="E60" s="3">
        <f>MOD(E57-E59,24)</f>
        <v>2.9891666666666659</v>
      </c>
      <c r="G60" s="3" t="s">
        <v>11</v>
      </c>
      <c r="H60" s="3">
        <f>INT(K60)</f>
        <v>88</v>
      </c>
      <c r="I60" s="3">
        <f>(K60-H60)*60</f>
        <v>33.999999999999773</v>
      </c>
      <c r="J60" s="4">
        <f>ROUND(1000*(10+LOG10(L60)-TRUNC(10+LOG10(L60))),2)</f>
        <v>398.18</v>
      </c>
      <c r="K60" s="3">
        <f>K59/2</f>
        <v>88.566666666666663</v>
      </c>
      <c r="L60">
        <f>COS(RADIANS(K60))</f>
        <v>2.5013776736266698E-2</v>
      </c>
    </row>
    <row r="61" spans="1:14" x14ac:dyDescent="0.25">
      <c r="A61" t="s">
        <v>15</v>
      </c>
      <c r="B61">
        <f>INT(E61)</f>
        <v>44</v>
      </c>
      <c r="C61">
        <f>INT((E61-B61)*60)</f>
        <v>50</v>
      </c>
      <c r="D61" s="8">
        <f>(E61-B61-C61/60)*3600</f>
        <v>15.000000359975596</v>
      </c>
      <c r="E61" s="3">
        <f>E60*15+10^(-10)</f>
        <v>44.837500000099993</v>
      </c>
      <c r="G61" s="3" t="s">
        <v>12</v>
      </c>
      <c r="H61" s="3">
        <f>INT(K61)</f>
        <v>72</v>
      </c>
      <c r="I61" s="3">
        <f>(K61-H61)*60</f>
        <v>58.000000000000114</v>
      </c>
      <c r="J61" s="4">
        <f>ROUND(1000*(10+LOG10(L61)-TRUNC(10+LOG10(L61))),2)</f>
        <v>980.52</v>
      </c>
      <c r="K61" s="3">
        <f>K60-K55</f>
        <v>72.966666666666669</v>
      </c>
      <c r="L61">
        <f>SIN(RADIANS(K61))</f>
        <v>0.95613449917246185</v>
      </c>
    </row>
    <row r="62" spans="1:14" x14ac:dyDescent="0.25">
      <c r="J62" s="4">
        <f>SUM(J56:J61)-1000*TRUNC(SUM(J56:J61)/1000)</f>
        <v>643.40000000000009</v>
      </c>
      <c r="K62" s="3">
        <f>DEGREES(2*ASIN(SQRT(L62)))</f>
        <v>24.215077256743793</v>
      </c>
      <c r="L62">
        <f>(L60*L61)/(L56*L57)</f>
        <v>4.3993892870174078E-2</v>
      </c>
    </row>
    <row r="65" spans="1:14" x14ac:dyDescent="0.25">
      <c r="A65" s="9">
        <v>5972</v>
      </c>
      <c r="M65" s="2" t="s">
        <v>65</v>
      </c>
    </row>
    <row r="66" spans="1:14" x14ac:dyDescent="0.25">
      <c r="B66" s="2" t="s">
        <v>2</v>
      </c>
      <c r="C66" s="2" t="s">
        <v>5</v>
      </c>
      <c r="D66" s="2" t="s">
        <v>6</v>
      </c>
      <c r="H66" s="6" t="s">
        <v>16</v>
      </c>
      <c r="I66" s="6" t="s">
        <v>17</v>
      </c>
      <c r="M66" s="6" t="s">
        <v>16</v>
      </c>
    </row>
    <row r="67" spans="1:14" x14ac:dyDescent="0.25">
      <c r="A67" t="s">
        <v>7</v>
      </c>
      <c r="B67">
        <v>25</v>
      </c>
      <c r="C67">
        <v>24</v>
      </c>
      <c r="D67">
        <v>51</v>
      </c>
      <c r="E67" s="3">
        <f>(B67+C67/60+D67/3600)</f>
        <v>25.414166666666667</v>
      </c>
      <c r="G67" s="3" t="s">
        <v>18</v>
      </c>
      <c r="H67" s="3">
        <v>16</v>
      </c>
      <c r="I67" s="3">
        <v>55</v>
      </c>
      <c r="J67" s="3" t="s">
        <v>4</v>
      </c>
      <c r="K67" s="3">
        <f>H67+I67/60</f>
        <v>16.916666666666668</v>
      </c>
      <c r="M67" s="25">
        <f>MOD(DEGREES(ATAN2(-L68/TAN(RADIANS(K69))-SIN(RADIANS(-K68))*COS(N67),-SIN(N67))),360)</f>
        <v>17.930673715562151</v>
      </c>
      <c r="N67">
        <f>RADIANS(B71+C71/60+D71/3600-24)*15</f>
        <v>-0.31277754636781696</v>
      </c>
    </row>
    <row r="68" spans="1:14" x14ac:dyDescent="0.25">
      <c r="A68" t="s">
        <v>8</v>
      </c>
      <c r="C68">
        <v>3</v>
      </c>
      <c r="D68">
        <v>32</v>
      </c>
      <c r="E68" s="3">
        <f>(B68+C68/60+D68/3600)</f>
        <v>5.8888888888888893E-2</v>
      </c>
      <c r="G68" s="3" t="s">
        <v>19</v>
      </c>
      <c r="H68" s="3">
        <v>54</v>
      </c>
      <c r="I68" s="3">
        <v>39</v>
      </c>
      <c r="J68" s="4">
        <f>ROUND(-1000*LOG10(L68),2)</f>
        <v>237.64</v>
      </c>
      <c r="K68" s="3">
        <f>H68+I68/60</f>
        <v>54.65</v>
      </c>
      <c r="L68">
        <f>COS(RADIANS(K68))</f>
        <v>0.57856961866605872</v>
      </c>
    </row>
    <row r="69" spans="1:14" x14ac:dyDescent="0.25">
      <c r="A69" t="s">
        <v>9</v>
      </c>
      <c r="B69">
        <f>INT(E69)</f>
        <v>25</v>
      </c>
      <c r="C69">
        <f>INT((E69-B69)*60)</f>
        <v>28</v>
      </c>
      <c r="D69">
        <f>(E69-B69-C69/60)*3600</f>
        <v>22.999999999994401</v>
      </c>
      <c r="E69" s="3">
        <f>E67+E68</f>
        <v>25.473055555555554</v>
      </c>
      <c r="G69" s="3" t="s">
        <v>20</v>
      </c>
      <c r="H69" s="3">
        <v>106</v>
      </c>
      <c r="I69" s="3">
        <v>49</v>
      </c>
      <c r="J69" s="4">
        <f>ROUND(-1000*LOG10(L69),2)</f>
        <v>18.98</v>
      </c>
      <c r="K69" s="3">
        <f>H69+I69/60</f>
        <v>106.81666666666666</v>
      </c>
      <c r="L69">
        <f>SIN(RADIANS(K69))</f>
        <v>0.95723538108934336</v>
      </c>
    </row>
    <row r="70" spans="1:14" x14ac:dyDescent="0.25">
      <c r="J70" s="5"/>
    </row>
    <row r="71" spans="1:14" x14ac:dyDescent="0.25">
      <c r="A71" t="s">
        <v>13</v>
      </c>
      <c r="B71">
        <f>INT(E71)</f>
        <v>22</v>
      </c>
      <c r="C71">
        <f>INT((E71-B71)*60)</f>
        <v>48</v>
      </c>
      <c r="D71">
        <f>(E71-B71-C71/60)*3600</f>
        <v>19.000000000002171</v>
      </c>
      <c r="E71" s="3">
        <f>ROUND((24-K74/15)*3600,0)/3600</f>
        <v>22.805277777777778</v>
      </c>
      <c r="G71" s="3" t="s">
        <v>10</v>
      </c>
      <c r="H71" s="3">
        <f>INT(K71)</f>
        <v>178</v>
      </c>
      <c r="I71" s="3">
        <f>(K71-H71)*60</f>
        <v>22.999999999999545</v>
      </c>
      <c r="J71" s="5"/>
      <c r="K71" s="3">
        <f>SUM(K67:K69)</f>
        <v>178.38333333333333</v>
      </c>
      <c r="M71" s="25"/>
    </row>
    <row r="72" spans="1:14" x14ac:dyDescent="0.25">
      <c r="A72" t="s">
        <v>14</v>
      </c>
      <c r="B72">
        <f>INT(E72)</f>
        <v>2</v>
      </c>
      <c r="C72">
        <f>INT((E72-B72)*60)</f>
        <v>40</v>
      </c>
      <c r="D72">
        <f>(E72-B72-C72/60)*3600</f>
        <v>3.999999999992232</v>
      </c>
      <c r="E72" s="3">
        <f>MOD(E69-E71,24)</f>
        <v>2.6677777777777756</v>
      </c>
      <c r="G72" s="3" t="s">
        <v>11</v>
      </c>
      <c r="H72" s="3">
        <f>INT(K72)</f>
        <v>89</v>
      </c>
      <c r="I72" s="3">
        <f>(K72-H72)*60</f>
        <v>11.499999999999773</v>
      </c>
      <c r="J72" s="4">
        <f>ROUND(1000*(10+LOG10(L72)-TRUNC(10+LOG10(L72))),2)</f>
        <v>149.44999999999999</v>
      </c>
      <c r="K72" s="3">
        <f>K71/2</f>
        <v>89.191666666666663</v>
      </c>
      <c r="L72">
        <f>COS(RADIANS(K72))</f>
        <v>1.4107610117979487E-2</v>
      </c>
    </row>
    <row r="73" spans="1:14" x14ac:dyDescent="0.25">
      <c r="A73" t="s">
        <v>15</v>
      </c>
      <c r="B73">
        <f>INT(E73)</f>
        <v>40</v>
      </c>
      <c r="C73">
        <f>INT((E73-B73)*60)</f>
        <v>1</v>
      </c>
      <c r="D73" s="11">
        <f>(E73-B73-C73/60)*3600</f>
        <v>3.5990069674474157E-7</v>
      </c>
      <c r="E73" s="3">
        <f>E72*15+10^(-10)</f>
        <v>40.016666666766639</v>
      </c>
      <c r="G73" s="3" t="s">
        <v>12</v>
      </c>
      <c r="H73" s="3">
        <f>INT(K73)</f>
        <v>72</v>
      </c>
      <c r="I73" s="3">
        <f>(K73-H73)*60</f>
        <v>16.499999999999488</v>
      </c>
      <c r="J73" s="4">
        <f>ROUND(1000*(10+LOG10(L73)-TRUNC(10+LOG10(L73))),2)</f>
        <v>978.88</v>
      </c>
      <c r="K73" s="3">
        <f>K72-K67</f>
        <v>72.274999999999991</v>
      </c>
      <c r="L73">
        <f>SIN(RADIANS(K73))</f>
        <v>0.95252873112244474</v>
      </c>
    </row>
    <row r="74" spans="1:14" x14ac:dyDescent="0.25">
      <c r="J74" s="4">
        <f>SUM(J68:J73)-1000*TRUNC(SUM(J68:J73)/1000)</f>
        <v>384.95000000000005</v>
      </c>
      <c r="K74" s="3">
        <f>DEGREES(2*ASIN(SQRT(L74)))</f>
        <v>17.922694992893138</v>
      </c>
      <c r="L74">
        <f>(L72*L73)/(L68*L69)</f>
        <v>2.4263707723535904E-2</v>
      </c>
    </row>
    <row r="76" spans="1:14" x14ac:dyDescent="0.25">
      <c r="B76" s="2" t="s">
        <v>2</v>
      </c>
      <c r="C76" s="2" t="s">
        <v>5</v>
      </c>
      <c r="D76" s="2" t="s">
        <v>6</v>
      </c>
      <c r="H76" s="6" t="s">
        <v>16</v>
      </c>
      <c r="I76" s="6" t="s">
        <v>17</v>
      </c>
    </row>
    <row r="77" spans="1:14" x14ac:dyDescent="0.25">
      <c r="A77" t="s">
        <v>7</v>
      </c>
      <c r="B77">
        <v>23</v>
      </c>
      <c r="C77">
        <v>19</v>
      </c>
      <c r="D77">
        <v>38</v>
      </c>
      <c r="E77" s="3">
        <f>(B77+C77/60+D77/3600)</f>
        <v>23.327222222222222</v>
      </c>
      <c r="G77" s="3" t="s">
        <v>18</v>
      </c>
      <c r="H77" s="3">
        <v>7</v>
      </c>
      <c r="I77" s="3">
        <v>21</v>
      </c>
      <c r="J77" s="3" t="s">
        <v>4</v>
      </c>
      <c r="K77" s="3">
        <f>H77+I77/60</f>
        <v>7.35</v>
      </c>
      <c r="M77" s="25">
        <f>MOD(DEGREES(ATAN2(-L78/TAN(RADIANS(K79))-SIN(RADIANS(-K78))*COS(N77),-SIN(N77))),360)</f>
        <v>46.677408858503725</v>
      </c>
      <c r="N77">
        <f>RADIANS(B81+C81/60+D81/3600-24)*15</f>
        <v>-0.85361144832956004</v>
      </c>
    </row>
    <row r="78" spans="1:14" x14ac:dyDescent="0.25">
      <c r="A78" t="s">
        <v>8</v>
      </c>
      <c r="C78">
        <v>3</v>
      </c>
      <c r="D78">
        <v>32</v>
      </c>
      <c r="E78" s="3">
        <f>(B78+C78/60+D78/3600)</f>
        <v>5.8888888888888893E-2</v>
      </c>
      <c r="G78" s="3" t="s">
        <v>19</v>
      </c>
      <c r="H78" s="3">
        <v>54</v>
      </c>
      <c r="I78" s="3">
        <v>41.5</v>
      </c>
      <c r="J78" s="4">
        <f>ROUND(-1000*LOG10(L78),2)</f>
        <v>238.09</v>
      </c>
      <c r="K78" s="3">
        <f>H78+I78/60</f>
        <v>54.69166666666667</v>
      </c>
      <c r="L78">
        <f>COS(RADIANS(K78))</f>
        <v>0.57797632067189197</v>
      </c>
    </row>
    <row r="79" spans="1:14" x14ac:dyDescent="0.25">
      <c r="A79" t="s">
        <v>9</v>
      </c>
      <c r="B79">
        <f>INT(E79)</f>
        <v>23</v>
      </c>
      <c r="C79">
        <f>INT((E79-B79)*60)</f>
        <v>23</v>
      </c>
      <c r="D79">
        <f>(E79-B79-C79/60)*3600</f>
        <v>9.9999999999933706</v>
      </c>
      <c r="E79" s="3">
        <f>E77+E78</f>
        <v>23.386111111111109</v>
      </c>
      <c r="G79" s="3" t="s">
        <v>20</v>
      </c>
      <c r="H79" s="3">
        <v>106</v>
      </c>
      <c r="I79" s="3">
        <v>47.5</v>
      </c>
      <c r="J79" s="4">
        <f>ROUND(-1000*LOG10(L79),2)</f>
        <v>18.920000000000002</v>
      </c>
      <c r="K79" s="3">
        <f>H79+I79/60</f>
        <v>106.79166666666667</v>
      </c>
      <c r="L79">
        <f>SIN(RADIANS(K79))</f>
        <v>0.95736152537718699</v>
      </c>
    </row>
    <row r="80" spans="1:14" x14ac:dyDescent="0.25">
      <c r="J80" s="5"/>
    </row>
    <row r="81" spans="1:14" x14ac:dyDescent="0.25">
      <c r="A81" t="s">
        <v>13</v>
      </c>
      <c r="B81">
        <f>INT(E81)</f>
        <v>20</v>
      </c>
      <c r="C81">
        <f>INT((E81-B81)*60)</f>
        <v>44</v>
      </c>
      <c r="D81">
        <f>(E81-B81-C81/60)*3600</f>
        <v>22.000000000000639</v>
      </c>
      <c r="E81" s="3">
        <f>ROUND((24-K84/15)*3600,0)/3600</f>
        <v>20.739444444444445</v>
      </c>
      <c r="G81" s="3" t="s">
        <v>10</v>
      </c>
      <c r="H81" s="3">
        <f>INT(K81)</f>
        <v>168</v>
      </c>
      <c r="I81" s="3">
        <f>(K81-H81)*60</f>
        <v>50.000000000000568</v>
      </c>
      <c r="J81" s="5"/>
      <c r="K81" s="3">
        <f>SUM(K77:K79)</f>
        <v>168.83333333333334</v>
      </c>
    </row>
    <row r="82" spans="1:14" x14ac:dyDescent="0.25">
      <c r="A82" t="s">
        <v>14</v>
      </c>
      <c r="B82">
        <f>INT(E82)</f>
        <v>2</v>
      </c>
      <c r="C82">
        <f>INT((E82-B82)*60)</f>
        <v>38</v>
      </c>
      <c r="D82">
        <f>(E82-B82-C82/60)*3600</f>
        <v>47.999999999993115</v>
      </c>
      <c r="E82" s="3">
        <f>MOD(E79-E81,24)</f>
        <v>2.6466666666666647</v>
      </c>
      <c r="G82" s="3" t="s">
        <v>11</v>
      </c>
      <c r="H82" s="3">
        <f>INT(K82)</f>
        <v>84</v>
      </c>
      <c r="I82" s="3">
        <f>(K82-H82)*60</f>
        <v>25.000000000000284</v>
      </c>
      <c r="J82" s="4">
        <f>ROUND(1000*(10+LOG10(L82)-TRUNC(10+LOG10(L82))),2)</f>
        <v>988.08</v>
      </c>
      <c r="K82" s="3">
        <f>K81/2</f>
        <v>84.416666666666671</v>
      </c>
      <c r="L82">
        <f>COS(RADIANS(K82))</f>
        <v>9.7293395719101422E-2</v>
      </c>
    </row>
    <row r="83" spans="1:14" x14ac:dyDescent="0.25">
      <c r="A83" t="s">
        <v>15</v>
      </c>
      <c r="B83">
        <f>INT(E83)</f>
        <v>39</v>
      </c>
      <c r="C83">
        <f>INT((E83-B83)*60)</f>
        <v>42</v>
      </c>
      <c r="D83" s="11">
        <f>(E83-B83-C83/60)*3600</f>
        <v>3.5991449820471644E-7</v>
      </c>
      <c r="E83" s="3">
        <f>E82*15+10^(-10)</f>
        <v>39.700000000099976</v>
      </c>
      <c r="G83" s="3" t="s">
        <v>12</v>
      </c>
      <c r="H83" s="3">
        <f>INT(K83)</f>
        <v>77</v>
      </c>
      <c r="I83" s="3">
        <f>(K83-H83)*60</f>
        <v>4.0000000000006253</v>
      </c>
      <c r="J83" s="4">
        <f>ROUND(1000*(10+LOG10(L83)-TRUNC(10+LOG10(L83))),2)</f>
        <v>988.84</v>
      </c>
      <c r="K83" s="3">
        <f>K82-K77</f>
        <v>77.066666666666677</v>
      </c>
      <c r="L83">
        <f>SIN(RADIANS(K83))</f>
        <v>0.97463114758520264</v>
      </c>
    </row>
    <row r="84" spans="1:14" x14ac:dyDescent="0.25">
      <c r="J84" s="4">
        <f>SUM(J78:J83)-1000*TRUNC(SUM(J78:J83)/1000)</f>
        <v>233.93000000000029</v>
      </c>
      <c r="K84" s="3">
        <f>DEGREES(2*ASIN(SQRT(L84)))</f>
        <v>48.908932015558847</v>
      </c>
      <c r="L84">
        <f>(L82*L83)/(L78*L79)</f>
        <v>0.17137111875593389</v>
      </c>
    </row>
    <row r="86" spans="1:14" x14ac:dyDescent="0.25">
      <c r="B86" s="2" t="s">
        <v>2</v>
      </c>
      <c r="C86" s="2" t="s">
        <v>5</v>
      </c>
      <c r="D86" s="2" t="s">
        <v>6</v>
      </c>
      <c r="H86" s="6" t="s">
        <v>16</v>
      </c>
      <c r="I86" s="6" t="s">
        <v>17</v>
      </c>
    </row>
    <row r="87" spans="1:14" x14ac:dyDescent="0.25">
      <c r="A87" t="s">
        <v>7</v>
      </c>
      <c r="B87">
        <v>5</v>
      </c>
      <c r="C87">
        <v>23</v>
      </c>
      <c r="D87">
        <v>14</v>
      </c>
      <c r="E87" s="3">
        <f>(B87+C87/60+D87/3600)</f>
        <v>5.3872222222222224</v>
      </c>
      <c r="G87" s="3" t="s">
        <v>18</v>
      </c>
      <c r="H87" s="3">
        <v>9</v>
      </c>
      <c r="I87" s="3">
        <v>57</v>
      </c>
      <c r="J87" s="3" t="s">
        <v>4</v>
      </c>
      <c r="K87" s="3">
        <f>H87+I87/60</f>
        <v>9.9499999999999993</v>
      </c>
      <c r="M87" s="25">
        <f>MOD(DEGREES(ATAN2(-L88/TAN(RADIANS(K89))-SIN(RADIANS(-K88))*COS(N87),-SIN(N87))),360)</f>
        <v>318.96224408645276</v>
      </c>
      <c r="N87">
        <f>RADIANS(B91+C91/60+D91/3600-24)*15</f>
        <v>-5.5412022089254966</v>
      </c>
    </row>
    <row r="88" spans="1:14" x14ac:dyDescent="0.25">
      <c r="A88" t="s">
        <v>8</v>
      </c>
      <c r="C88">
        <v>3</v>
      </c>
      <c r="D88">
        <v>33</v>
      </c>
      <c r="E88" s="3">
        <f>(B88+C88/60+D88/3600)</f>
        <v>5.9166666666666673E-2</v>
      </c>
      <c r="G88" s="3" t="s">
        <v>19</v>
      </c>
      <c r="H88" s="3">
        <v>54</v>
      </c>
      <c r="I88" s="3">
        <v>33</v>
      </c>
      <c r="J88" s="4">
        <f>ROUND(-1000*LOG10(L88),2)</f>
        <v>236.58</v>
      </c>
      <c r="K88" s="3">
        <f>H88+I88/60</f>
        <v>54.55</v>
      </c>
      <c r="L88">
        <f>COS(RADIANS(K88))</f>
        <v>0.57999228487148702</v>
      </c>
    </row>
    <row r="89" spans="1:14" x14ac:dyDescent="0.25">
      <c r="A89" t="s">
        <v>9</v>
      </c>
      <c r="B89">
        <f>INT(E89)</f>
        <v>5</v>
      </c>
      <c r="C89">
        <f>INT((E89-B89)*60)</f>
        <v>26</v>
      </c>
      <c r="D89">
        <f>(E89-B89-C89/60)*3600</f>
        <v>47.000000000001748</v>
      </c>
      <c r="E89" s="3">
        <f>E87+E88</f>
        <v>5.4463888888888894</v>
      </c>
      <c r="G89" s="3" t="s">
        <v>20</v>
      </c>
      <c r="H89" s="3">
        <v>106</v>
      </c>
      <c r="I89" s="3">
        <v>52</v>
      </c>
      <c r="J89" s="4">
        <f>ROUND(-1000*LOG10(L89),2)</f>
        <v>19.100000000000001</v>
      </c>
      <c r="K89" s="3">
        <f>H89+I89/60</f>
        <v>106.86666666666666</v>
      </c>
      <c r="L89">
        <f>SIN(RADIANS(K89))</f>
        <v>0.95698254580539299</v>
      </c>
    </row>
    <row r="90" spans="1:14" x14ac:dyDescent="0.25">
      <c r="J90" s="5"/>
    </row>
    <row r="91" spans="1:14" x14ac:dyDescent="0.25">
      <c r="A91" t="s">
        <v>13</v>
      </c>
      <c r="B91">
        <f>INT(E91)</f>
        <v>2</v>
      </c>
      <c r="C91">
        <f>INT((E91-B91)*60)</f>
        <v>50</v>
      </c>
      <c r="D91">
        <f>(E91-B91-C91/60)*3600</f>
        <v>2.9999999999992699</v>
      </c>
      <c r="E91" s="3">
        <f>ROUND((K94/15)*3600,0)/3600</f>
        <v>2.8341666666666665</v>
      </c>
      <c r="G91" s="3" t="s">
        <v>10</v>
      </c>
      <c r="H91" s="3">
        <f>INT(K91)</f>
        <v>171</v>
      </c>
      <c r="I91" s="3">
        <f>(K91-H91)*60</f>
        <v>22.000000000000455</v>
      </c>
      <c r="J91" s="5"/>
      <c r="K91" s="3">
        <f>SUM(K87:K89)</f>
        <v>171.36666666666667</v>
      </c>
    </row>
    <row r="92" spans="1:14" x14ac:dyDescent="0.25">
      <c r="A92" t="s">
        <v>14</v>
      </c>
      <c r="B92">
        <f>INT(E92)</f>
        <v>2</v>
      </c>
      <c r="C92">
        <f>INT((E92-B92)*60)</f>
        <v>36</v>
      </c>
      <c r="D92">
        <f>(E92-B92-C92/60)*3600</f>
        <v>44.00000000000248</v>
      </c>
      <c r="E92" s="3">
        <f>MOD(E89-E91,24)</f>
        <v>2.6122222222222229</v>
      </c>
      <c r="G92" s="3" t="s">
        <v>11</v>
      </c>
      <c r="H92" s="3">
        <f>INT(K92)</f>
        <v>85</v>
      </c>
      <c r="I92" s="3">
        <f>(K92-H92)*60</f>
        <v>41.000000000000227</v>
      </c>
      <c r="J92" s="10">
        <f>ROUND(1000*(10+LOG10(L92)-TRUNC(10+LOG10(L92))),2)</f>
        <v>876.61</v>
      </c>
      <c r="K92" s="3">
        <f>K91/2</f>
        <v>85.683333333333337</v>
      </c>
      <c r="L92">
        <f>COS(RADIANS(K92))</f>
        <v>7.5268793047238047E-2</v>
      </c>
    </row>
    <row r="93" spans="1:14" x14ac:dyDescent="0.25">
      <c r="A93" t="s">
        <v>15</v>
      </c>
      <c r="B93">
        <f>INT(E93)</f>
        <v>39</v>
      </c>
      <c r="C93">
        <f>INT((E93-B93)*60)</f>
        <v>11</v>
      </c>
      <c r="D93" s="11">
        <f>(E93-B93-C93/60)*3600</f>
        <v>3.6004569325953639E-7</v>
      </c>
      <c r="E93" s="3">
        <f>E92*15+10^(-10)</f>
        <v>39.183333333433346</v>
      </c>
      <c r="G93" s="3" t="s">
        <v>12</v>
      </c>
      <c r="H93" s="3">
        <f>INT(K93)</f>
        <v>75</v>
      </c>
      <c r="I93" s="3">
        <f>(K93-H93)*60</f>
        <v>44.000000000000057</v>
      </c>
      <c r="J93" s="4">
        <f>ROUND(1000*(10+LOG10(L93)-TRUNC(10+LOG10(L93))),2)</f>
        <v>986.4</v>
      </c>
      <c r="K93" s="3">
        <f>K92-K87</f>
        <v>75.733333333333334</v>
      </c>
      <c r="L93">
        <f>SIN(RADIANS(K93))</f>
        <v>0.969159265611101</v>
      </c>
    </row>
    <row r="94" spans="1:14" x14ac:dyDescent="0.25">
      <c r="J94" s="10">
        <f>SUM(J88:J93)-1000*TRUNC(SUM(J88:J93)/1000)</f>
        <v>118.69000000000005</v>
      </c>
      <c r="K94" s="3">
        <f>DEGREES(2*ASIN(SQRT(L94)))</f>
        <v>42.511100149020663</v>
      </c>
      <c r="L94">
        <f>(L92*L93)/(L88*L89)</f>
        <v>0.13142678095916319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workbookViewId="0">
      <selection activeCell="M20" sqref="M20"/>
    </sheetView>
  </sheetViews>
  <sheetFormatPr defaultRowHeight="15" x14ac:dyDescent="0.25"/>
  <cols>
    <col min="1" max="1" width="19.140625" customWidth="1"/>
    <col min="2" max="2" width="3.140625" customWidth="1"/>
    <col min="3" max="3" width="3.85546875" customWidth="1"/>
    <col min="4" max="5" width="8.42578125" customWidth="1"/>
    <col min="6" max="6" width="1.7109375" bestFit="1" customWidth="1"/>
    <col min="7" max="8" width="8.42578125" customWidth="1"/>
    <col min="9" max="9" width="2.5703125" bestFit="1" customWidth="1"/>
    <col min="10" max="11" width="8.42578125" hidden="1" customWidth="1"/>
    <col min="12" max="12" width="8.7109375" hidden="1" customWidth="1"/>
    <col min="15" max="15" width="7.5703125" hidden="1" customWidth="1"/>
    <col min="18" max="18" width="8.7109375" hidden="1" customWidth="1"/>
  </cols>
  <sheetData>
    <row r="1" spans="1:20" x14ac:dyDescent="0.25">
      <c r="D1" s="6" t="s">
        <v>16</v>
      </c>
      <c r="E1" s="6" t="s">
        <v>17</v>
      </c>
      <c r="G1" s="6" t="s">
        <v>16</v>
      </c>
      <c r="H1" s="6" t="s">
        <v>17</v>
      </c>
    </row>
    <row r="2" spans="1:20" ht="14.45" x14ac:dyDescent="0.35">
      <c r="A2" t="s">
        <v>21</v>
      </c>
      <c r="D2">
        <v>61</v>
      </c>
      <c r="E2">
        <v>4</v>
      </c>
      <c r="F2" t="s">
        <v>0</v>
      </c>
      <c r="G2">
        <v>54</v>
      </c>
      <c r="H2">
        <v>50</v>
      </c>
      <c r="I2" t="s">
        <v>1</v>
      </c>
      <c r="J2">
        <f>D2+E2/60</f>
        <v>61.06666666666667</v>
      </c>
      <c r="K2">
        <f>G2+H2/60</f>
        <v>54.833333333333336</v>
      </c>
    </row>
    <row r="3" spans="1:20" ht="16.5" x14ac:dyDescent="0.35">
      <c r="A3" t="s">
        <v>43</v>
      </c>
      <c r="D3">
        <v>54</v>
      </c>
      <c r="E3">
        <v>4</v>
      </c>
      <c r="F3" t="s">
        <v>0</v>
      </c>
      <c r="G3">
        <v>39</v>
      </c>
      <c r="H3">
        <v>0</v>
      </c>
      <c r="I3" t="s">
        <v>1</v>
      </c>
      <c r="J3">
        <f t="shared" ref="J3:J5" si="0">D3+E3/60</f>
        <v>54.06666666666667</v>
      </c>
      <c r="K3">
        <f t="shared" ref="K3:K5" si="1">G3+H3/60</f>
        <v>39</v>
      </c>
    </row>
    <row r="4" spans="1:20" ht="14.45" x14ac:dyDescent="0.35">
      <c r="A4" t="s">
        <v>38</v>
      </c>
      <c r="D4">
        <v>54</v>
      </c>
      <c r="E4">
        <v>4</v>
      </c>
      <c r="F4" t="s">
        <v>0</v>
      </c>
      <c r="G4">
        <v>38</v>
      </c>
      <c r="H4">
        <v>14</v>
      </c>
      <c r="I4" t="s">
        <v>1</v>
      </c>
      <c r="J4">
        <f t="shared" si="0"/>
        <v>54.06666666666667</v>
      </c>
      <c r="K4">
        <f t="shared" si="1"/>
        <v>38.233333333333334</v>
      </c>
    </row>
    <row r="5" spans="1:20" ht="14.45" x14ac:dyDescent="0.35">
      <c r="A5" t="s">
        <v>40</v>
      </c>
      <c r="D5">
        <v>54</v>
      </c>
      <c r="E5">
        <v>0</v>
      </c>
      <c r="F5" t="s">
        <v>0</v>
      </c>
      <c r="G5">
        <v>38</v>
      </c>
      <c r="H5">
        <v>0</v>
      </c>
      <c r="I5" t="s">
        <v>1</v>
      </c>
      <c r="J5">
        <f t="shared" si="0"/>
        <v>54</v>
      </c>
      <c r="K5">
        <f t="shared" si="1"/>
        <v>38</v>
      </c>
    </row>
    <row r="8" spans="1:20" x14ac:dyDescent="0.25">
      <c r="D8" s="6" t="s">
        <v>16</v>
      </c>
      <c r="E8" s="6" t="s">
        <v>17</v>
      </c>
      <c r="G8" s="6" t="s">
        <v>16</v>
      </c>
      <c r="H8" s="6" t="s">
        <v>17</v>
      </c>
      <c r="L8" s="26" t="s">
        <v>41</v>
      </c>
      <c r="M8" s="26"/>
      <c r="N8" s="26"/>
      <c r="O8" s="26" t="s">
        <v>38</v>
      </c>
      <c r="P8" s="26"/>
      <c r="Q8" s="26"/>
      <c r="R8" s="26" t="s">
        <v>40</v>
      </c>
      <c r="S8" s="26"/>
      <c r="T8" s="26"/>
    </row>
    <row r="9" spans="1:20" ht="14.45" x14ac:dyDescent="0.35">
      <c r="D9" s="6"/>
      <c r="E9" s="6"/>
      <c r="G9" s="6"/>
      <c r="H9" s="6"/>
      <c r="L9" s="20"/>
      <c r="M9" s="20" t="s">
        <v>33</v>
      </c>
      <c r="N9" s="20" t="s">
        <v>42</v>
      </c>
      <c r="O9" s="20"/>
      <c r="P9" s="20" t="s">
        <v>33</v>
      </c>
      <c r="Q9" s="20" t="s">
        <v>42</v>
      </c>
      <c r="R9" s="20"/>
      <c r="S9" s="20" t="s">
        <v>33</v>
      </c>
      <c r="T9" s="20" t="s">
        <v>42</v>
      </c>
    </row>
    <row r="10" spans="1:20" ht="14.45" x14ac:dyDescent="0.35">
      <c r="D10">
        <v>61</v>
      </c>
      <c r="E10">
        <v>4</v>
      </c>
      <c r="F10" t="s">
        <v>0</v>
      </c>
      <c r="G10">
        <v>54</v>
      </c>
      <c r="H10">
        <v>50</v>
      </c>
      <c r="I10" t="s">
        <v>1</v>
      </c>
      <c r="J10">
        <f t="shared" ref="J10:J16" si="2">D10+E10/60</f>
        <v>61.06666666666667</v>
      </c>
      <c r="K10">
        <f t="shared" ref="K10:K16" si="3">G10+H10/60</f>
        <v>54.833333333333336</v>
      </c>
      <c r="L10">
        <f>($J$3+$J10)/2</f>
        <v>57.56666666666667</v>
      </c>
      <c r="M10" s="7">
        <f>DEGREES(ATAN2($J10-$J$3,($K10-$K$3)*COS(RADIANS(L10))))</f>
        <v>50.500070478153816</v>
      </c>
      <c r="N10" s="7">
        <f>ABS(60*($J$3-$J10)/COS(RADIANS(M10)))</f>
        <v>660.297135378093</v>
      </c>
      <c r="O10">
        <f>($J$4+$J10)/2</f>
        <v>57.56666666666667</v>
      </c>
      <c r="P10" s="7">
        <f>DEGREES(ATAN2($J10-$J$4,($K10-$K$4)*COS(RADIANS(O10))))</f>
        <v>51.823352194522471</v>
      </c>
      <c r="Q10" s="7">
        <f>ABS(60*($J$4-$J10)/COS(RADIANS(P10)))</f>
        <v>679.51483589316376</v>
      </c>
      <c r="R10">
        <f>($J$5+$J10)/2</f>
        <v>57.533333333333331</v>
      </c>
      <c r="S10" s="7">
        <f>DEGREES(ATAN2($J10-$J$5,($K10-$K$5)*COS(RADIANS(R10))))</f>
        <v>51.973436270549854</v>
      </c>
      <c r="T10" s="7">
        <f>ABS(60*($J$5-$J10)/COS(RADIANS(S10)))</f>
        <v>688.28179915095382</v>
      </c>
    </row>
    <row r="11" spans="1:20" ht="14.45" x14ac:dyDescent="0.35">
      <c r="A11">
        <v>1916</v>
      </c>
      <c r="B11">
        <v>4</v>
      </c>
      <c r="C11">
        <v>29</v>
      </c>
      <c r="D11">
        <v>58</v>
      </c>
      <c r="E11">
        <v>38</v>
      </c>
      <c r="F11" t="s">
        <v>0</v>
      </c>
      <c r="G11">
        <v>50</v>
      </c>
      <c r="H11">
        <v>0</v>
      </c>
      <c r="I11" t="s">
        <v>1</v>
      </c>
      <c r="J11">
        <f t="shared" si="2"/>
        <v>58.633333333333333</v>
      </c>
      <c r="K11">
        <f t="shared" si="3"/>
        <v>50</v>
      </c>
      <c r="L11">
        <f>($J$3+$J11)/2</f>
        <v>56.35</v>
      </c>
      <c r="M11" s="7">
        <f>DEGREES(ATAN2($J11-$J$3,($K11-$K$3)*COS(RADIANS(L11))))</f>
        <v>53.15904109128001</v>
      </c>
      <c r="N11" s="7">
        <f>ABS(60*($J$3-$J11)/COS(RADIANS(M11)))</f>
        <v>456.97446753813637</v>
      </c>
      <c r="P11" s="7"/>
      <c r="Q11" s="7"/>
      <c r="S11" s="7"/>
      <c r="T11" s="7"/>
    </row>
    <row r="12" spans="1:20" ht="14.45" x14ac:dyDescent="0.35">
      <c r="A12">
        <v>1916</v>
      </c>
      <c r="B12">
        <v>5</v>
      </c>
      <c r="C12">
        <v>3</v>
      </c>
      <c r="D12">
        <v>56</v>
      </c>
      <c r="E12">
        <v>13</v>
      </c>
      <c r="F12" t="s">
        <v>0</v>
      </c>
      <c r="G12">
        <v>45</v>
      </c>
      <c r="H12">
        <v>38</v>
      </c>
      <c r="I12" t="s">
        <v>1</v>
      </c>
      <c r="J12">
        <f t="shared" si="2"/>
        <v>56.216666666666669</v>
      </c>
      <c r="K12">
        <f t="shared" si="3"/>
        <v>45.633333333333333</v>
      </c>
      <c r="M12" s="7"/>
      <c r="N12" s="7"/>
      <c r="P12" s="7"/>
      <c r="Q12" s="7"/>
      <c r="R12">
        <f>($J$5+$J12)/2</f>
        <v>55.108333333333334</v>
      </c>
      <c r="S12" s="7">
        <f>DEGREES(ATAN2($J12-$J$5,($K12-$K$5)*COS(RADIANS(R12))))</f>
        <v>63.085076514425779</v>
      </c>
      <c r="T12" s="7">
        <f>ABS(60*($J$5-$J12)/COS(RADIANS(S12)))</f>
        <v>293.81423280815613</v>
      </c>
    </row>
    <row r="13" spans="1:20" ht="14.45" x14ac:dyDescent="0.35">
      <c r="A13">
        <v>1916</v>
      </c>
      <c r="B13">
        <v>5</v>
      </c>
      <c r="C13">
        <v>4</v>
      </c>
      <c r="D13">
        <v>55</v>
      </c>
      <c r="E13">
        <v>31</v>
      </c>
      <c r="F13" t="s">
        <v>0</v>
      </c>
      <c r="G13">
        <v>44</v>
      </c>
      <c r="H13">
        <v>43</v>
      </c>
      <c r="I13" t="s">
        <v>1</v>
      </c>
      <c r="J13">
        <f t="shared" ref="J13" si="4">D13+E13/60</f>
        <v>55.516666666666666</v>
      </c>
      <c r="K13">
        <f t="shared" ref="K13" si="5">G13+H13/60</f>
        <v>44.716666666666669</v>
      </c>
      <c r="M13" s="7"/>
      <c r="N13" s="7"/>
      <c r="P13" s="7"/>
      <c r="Q13" s="7"/>
      <c r="R13">
        <f>($J$5+$J13)/2</f>
        <v>54.758333333333333</v>
      </c>
      <c r="S13" s="7">
        <f>DEGREES(ATAN2($J13-$J$5,($K13-$K$5)*COS(RADIANS(R13))))</f>
        <v>68.628214459635657</v>
      </c>
      <c r="T13" s="7">
        <f>ABS(60*($J$5-$J13)/COS(RADIANS(S13)))</f>
        <v>249.71306634824361</v>
      </c>
    </row>
    <row r="14" spans="1:20" ht="14.45" x14ac:dyDescent="0.35">
      <c r="A14">
        <v>1916</v>
      </c>
      <c r="B14">
        <v>5</v>
      </c>
      <c r="C14">
        <v>5</v>
      </c>
      <c r="D14">
        <v>54</v>
      </c>
      <c r="E14">
        <v>30</v>
      </c>
      <c r="F14" t="s">
        <v>0</v>
      </c>
      <c r="G14">
        <v>42</v>
      </c>
      <c r="H14">
        <v>36</v>
      </c>
      <c r="I14" t="s">
        <v>1</v>
      </c>
      <c r="J14">
        <f t="shared" si="2"/>
        <v>54.5</v>
      </c>
      <c r="K14">
        <f t="shared" si="3"/>
        <v>42.6</v>
      </c>
      <c r="M14" s="7"/>
      <c r="N14" s="7"/>
      <c r="O14">
        <f>($J$4+$J14)/2</f>
        <v>54.283333333333331</v>
      </c>
      <c r="P14" s="7">
        <f>DEGREES(ATAN2($J14-$J$4,($K14-$K$4)*COS(RADIANS(O14))))</f>
        <v>80.35248112704862</v>
      </c>
      <c r="Q14" s="7">
        <f>ABS(60*($J$4-$J14)/COS(RADIANS(P14)))</f>
        <v>155.1438210878508</v>
      </c>
      <c r="R14">
        <f>($J$5+$J14)/2</f>
        <v>54.25</v>
      </c>
      <c r="S14" s="7">
        <f>DEGREES(ATAN2($J14-$J$5,($K14-$K$5)*COS(RADIANS(R14))))</f>
        <v>79.461002056432349</v>
      </c>
      <c r="T14" s="7">
        <f>ABS(60*($J$5-$J14)/COS(RADIANS(S14)))</f>
        <v>164.01981662848806</v>
      </c>
    </row>
    <row r="15" spans="1:20" ht="14.45" x14ac:dyDescent="0.35">
      <c r="A15">
        <v>1916</v>
      </c>
      <c r="B15">
        <v>5</v>
      </c>
      <c r="C15">
        <v>6</v>
      </c>
      <c r="D15">
        <v>54</v>
      </c>
      <c r="E15">
        <v>26</v>
      </c>
      <c r="F15" t="s">
        <v>0</v>
      </c>
      <c r="G15">
        <v>40</v>
      </c>
      <c r="H15">
        <v>44</v>
      </c>
      <c r="I15" t="s">
        <v>1</v>
      </c>
      <c r="J15">
        <f t="shared" si="2"/>
        <v>54.43333333333333</v>
      </c>
      <c r="K15">
        <f t="shared" si="3"/>
        <v>40.733333333333334</v>
      </c>
      <c r="M15" s="7"/>
      <c r="N15" s="7"/>
      <c r="O15">
        <f>($J$4+$J15)/2</f>
        <v>54.25</v>
      </c>
      <c r="P15" s="7">
        <f>DEGREES(ATAN2($J15-$J$4,($K15-$K$4)*COS(RADIANS(O15))))</f>
        <v>75.907998651691003</v>
      </c>
      <c r="Q15" s="7">
        <f>ABS(60*($J$4-$J15)/COS(RADIANS(P15)))</f>
        <v>90.356641235952878</v>
      </c>
      <c r="S15" s="7"/>
      <c r="T15" s="7"/>
    </row>
    <row r="16" spans="1:20" ht="14.45" x14ac:dyDescent="0.35">
      <c r="A16">
        <v>1916</v>
      </c>
      <c r="B16">
        <v>5</v>
      </c>
      <c r="C16">
        <v>7</v>
      </c>
      <c r="D16">
        <v>54</v>
      </c>
      <c r="E16">
        <v>38</v>
      </c>
      <c r="F16" t="s">
        <v>0</v>
      </c>
      <c r="G16">
        <v>39</v>
      </c>
      <c r="H16">
        <v>36</v>
      </c>
      <c r="I16" t="s">
        <v>1</v>
      </c>
      <c r="J16">
        <f t="shared" si="2"/>
        <v>54.633333333333333</v>
      </c>
      <c r="K16">
        <f t="shared" si="3"/>
        <v>39.6</v>
      </c>
      <c r="M16" s="7"/>
      <c r="N16" s="7"/>
      <c r="P16" s="7"/>
      <c r="Q16" s="7"/>
      <c r="R16">
        <f>($J$5+$J16)/2</f>
        <v>54.316666666666663</v>
      </c>
      <c r="S16" s="7">
        <f>DEGREES(ATAN2($J16-$J$5,($K16-$K$5)*COS(RADIANS(R16))))</f>
        <v>55.839010605028967</v>
      </c>
      <c r="T16" s="7">
        <f>ABS(60*($J$5-$J16)/COS(RADIANS(S16)))</f>
        <v>67.673443459663076</v>
      </c>
    </row>
  </sheetData>
  <mergeCells count="3">
    <mergeCell ref="L8:N8"/>
    <mergeCell ref="O8:Q8"/>
    <mergeCell ref="R8:T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workbookViewId="0">
      <selection activeCell="W19" sqref="W19"/>
    </sheetView>
  </sheetViews>
  <sheetFormatPr defaultRowHeight="15" x14ac:dyDescent="0.25"/>
  <cols>
    <col min="1" max="1" width="15.5703125" customWidth="1"/>
    <col min="2" max="2" width="1.85546875" bestFit="1" customWidth="1"/>
    <col min="3" max="3" width="2.85546875" bestFit="1" customWidth="1"/>
    <col min="4" max="4" width="5.28515625" customWidth="1"/>
    <col min="5" max="5" width="4.140625" customWidth="1"/>
    <col min="6" max="6" width="3.42578125" customWidth="1"/>
    <col min="7" max="7" width="2.85546875" customWidth="1"/>
    <col min="8" max="8" width="4.140625" customWidth="1"/>
    <col min="9" max="9" width="3.85546875" customWidth="1"/>
    <col min="10" max="10" width="2" customWidth="1"/>
    <col min="11" max="11" width="3.85546875" bestFit="1" customWidth="1"/>
    <col min="12" max="12" width="2.5703125" customWidth="1"/>
    <col min="13" max="13" width="4.42578125" hidden="1" customWidth="1"/>
    <col min="14" max="14" width="7.85546875" bestFit="1" customWidth="1"/>
    <col min="15" max="16" width="8.7109375" style="1"/>
    <col min="17" max="17" width="6.5703125" customWidth="1"/>
    <col min="18" max="18" width="8.7109375" customWidth="1"/>
    <col min="20" max="20" width="4.140625" customWidth="1"/>
    <col min="21" max="21" width="8.7109375" customWidth="1"/>
    <col min="22" max="22" width="4.42578125" customWidth="1"/>
    <col min="23" max="23" width="3.7109375" customWidth="1"/>
  </cols>
  <sheetData>
    <row r="1" spans="1:23" ht="14.45" x14ac:dyDescent="0.35">
      <c r="D1" s="26" t="s">
        <v>44</v>
      </c>
      <c r="E1" s="26"/>
      <c r="F1" s="26"/>
      <c r="G1" s="26"/>
      <c r="H1" s="26"/>
      <c r="I1" s="26"/>
      <c r="S1" s="26" t="s">
        <v>45</v>
      </c>
      <c r="T1" s="26"/>
      <c r="U1" s="26"/>
      <c r="V1" s="26"/>
      <c r="W1" s="26"/>
    </row>
    <row r="2" spans="1:23" x14ac:dyDescent="0.25">
      <c r="D2" s="6" t="s">
        <v>16</v>
      </c>
      <c r="E2" s="6" t="s">
        <v>17</v>
      </c>
      <c r="G2" s="6" t="s">
        <v>16</v>
      </c>
      <c r="H2" s="6" t="s">
        <v>17</v>
      </c>
      <c r="J2" s="26" t="s">
        <v>33</v>
      </c>
      <c r="K2" s="26"/>
      <c r="L2" s="26"/>
      <c r="N2" t="s">
        <v>35</v>
      </c>
      <c r="O2" s="1" t="s">
        <v>34</v>
      </c>
      <c r="P2" s="1" t="s">
        <v>36</v>
      </c>
      <c r="Q2" s="13" t="s">
        <v>37</v>
      </c>
      <c r="S2" s="6" t="s">
        <v>16</v>
      </c>
      <c r="T2" s="6" t="s">
        <v>17</v>
      </c>
      <c r="V2" s="6" t="s">
        <v>16</v>
      </c>
      <c r="W2" s="6" t="s">
        <v>17</v>
      </c>
    </row>
    <row r="3" spans="1:23" ht="14.45" x14ac:dyDescent="0.35">
      <c r="A3">
        <v>1916</v>
      </c>
      <c r="B3">
        <v>4</v>
      </c>
      <c r="C3">
        <v>26</v>
      </c>
      <c r="D3">
        <v>60</v>
      </c>
      <c r="E3">
        <v>0</v>
      </c>
      <c r="F3" t="s">
        <v>0</v>
      </c>
      <c r="G3">
        <v>54</v>
      </c>
      <c r="H3">
        <v>50</v>
      </c>
      <c r="I3" t="s">
        <v>1</v>
      </c>
      <c r="J3" t="s">
        <v>3</v>
      </c>
      <c r="K3">
        <v>45</v>
      </c>
      <c r="L3" t="s">
        <v>39</v>
      </c>
      <c r="M3">
        <f t="shared" ref="M3:M12" si="0">IF(UPPER(J3)="S",180+IF(UPPER(L3)="W",1,-1)*K3,MOD(IF(UPPER(L3)="W",-1,1)*K3,360))</f>
        <v>45</v>
      </c>
      <c r="N3">
        <v>110</v>
      </c>
      <c r="O3" s="1">
        <f t="shared" ref="O3:O10" si="1">ROUND(N3*COS(RADIANS(M3)),1)</f>
        <v>77.8</v>
      </c>
      <c r="P3" s="1">
        <f t="shared" ref="P3:P10" si="2">ROUND(N3*SIN(RADIANS(M3)),1)</f>
        <v>77.8</v>
      </c>
      <c r="Q3" s="7">
        <f>P3/COS(RADIANS(D3+E3/60-O3/120))</f>
        <v>152.61864492473836</v>
      </c>
      <c r="R3">
        <f>D3+E3/60-O3/60</f>
        <v>58.703333333333333</v>
      </c>
      <c r="S3">
        <f t="shared" ref="S3:S19" si="3">INT(R3)</f>
        <v>58</v>
      </c>
      <c r="T3">
        <f t="shared" ref="T3:T10" si="4">ROUND((R3-S3)*60,0)</f>
        <v>42</v>
      </c>
      <c r="U3">
        <f>G3+H3/60-Q3/60</f>
        <v>52.289689251254366</v>
      </c>
      <c r="V3">
        <f t="shared" ref="V3:V19" si="5">INT(U3)</f>
        <v>52</v>
      </c>
      <c r="W3">
        <f t="shared" ref="W3:W10" si="6">ROUND((U3-V3)*60,0)</f>
        <v>17</v>
      </c>
    </row>
    <row r="4" spans="1:23" ht="14.45" x14ac:dyDescent="0.35">
      <c r="A4">
        <v>1916</v>
      </c>
      <c r="B4">
        <v>4</v>
      </c>
      <c r="C4">
        <v>29</v>
      </c>
      <c r="D4">
        <v>59</v>
      </c>
      <c r="E4">
        <v>52</v>
      </c>
      <c r="F4" t="s">
        <v>0</v>
      </c>
      <c r="G4">
        <v>50</v>
      </c>
      <c r="H4">
        <v>16</v>
      </c>
      <c r="I4" t="s">
        <v>1</v>
      </c>
      <c r="J4" t="s">
        <v>3</v>
      </c>
      <c r="K4">
        <v>35</v>
      </c>
      <c r="L4" t="s">
        <v>39</v>
      </c>
      <c r="M4">
        <f>IF(UPPER(J4)="S",180+IF(UPPER(L4)="W",1,-1)*K4,MOD(IF(UPPER(L4)="W",-1,1)*K4,360))</f>
        <v>35</v>
      </c>
      <c r="N4">
        <v>85</v>
      </c>
      <c r="O4" s="1">
        <f>ROUND(N4*COS(RADIANS(M4)),1)</f>
        <v>69.599999999999994</v>
      </c>
      <c r="P4" s="1">
        <f>ROUND(N4*SIN(RADIANS(M4)),1)</f>
        <v>48.8</v>
      </c>
      <c r="Q4" s="7">
        <f>P4/COS(RADIANS(D4+E4/60-O4/120))</f>
        <v>95.547075386258783</v>
      </c>
      <c r="R4">
        <f>D4+E4/60-O4/60</f>
        <v>58.706666666666671</v>
      </c>
      <c r="S4">
        <f>INT(R4)</f>
        <v>58</v>
      </c>
      <c r="T4">
        <f>ROUND((R4-S4)*60,0)</f>
        <v>42</v>
      </c>
      <c r="U4">
        <f>G4+H4/60-Q4/60</f>
        <v>48.674215410229017</v>
      </c>
      <c r="V4">
        <f>INT(U4)</f>
        <v>48</v>
      </c>
      <c r="W4">
        <f>ROUND((U4-V4)*60,0)</f>
        <v>40</v>
      </c>
    </row>
    <row r="5" spans="1:23" ht="14.45" x14ac:dyDescent="0.35">
      <c r="A5">
        <v>1916</v>
      </c>
      <c r="B5">
        <v>4</v>
      </c>
      <c r="C5">
        <v>29</v>
      </c>
      <c r="D5">
        <v>58</v>
      </c>
      <c r="E5">
        <v>42</v>
      </c>
      <c r="F5" t="s">
        <v>0</v>
      </c>
      <c r="G5">
        <v>48</v>
      </c>
      <c r="H5">
        <v>40</v>
      </c>
      <c r="I5" t="s">
        <v>1</v>
      </c>
      <c r="J5" t="s">
        <v>3</v>
      </c>
      <c r="K5">
        <v>35</v>
      </c>
      <c r="L5" t="s">
        <v>39</v>
      </c>
      <c r="M5">
        <f t="shared" ref="M5" si="7">IF(UPPER(J5)="S",180+IF(UPPER(L5)="W",1,-1)*K5,MOD(IF(UPPER(L5)="W",-1,1)*K5,360))</f>
        <v>35</v>
      </c>
      <c r="N5">
        <v>12</v>
      </c>
      <c r="O5" s="1">
        <f t="shared" ref="O5" si="8">ROUND(N5*COS(RADIANS(M5)),1)</f>
        <v>9.8000000000000007</v>
      </c>
      <c r="P5" s="1">
        <f t="shared" ref="P5" si="9">ROUND(N5*SIN(RADIANS(M5)),1)</f>
        <v>6.9</v>
      </c>
      <c r="Q5" s="7">
        <f t="shared" ref="Q5" si="10">P5/COS(RADIANS(D5+E5/60-O5/120))</f>
        <v>13.250463818174765</v>
      </c>
    </row>
    <row r="6" spans="1:23" ht="14.45" x14ac:dyDescent="0.35">
      <c r="A6">
        <v>1916</v>
      </c>
      <c r="B6">
        <v>4</v>
      </c>
      <c r="C6">
        <v>30</v>
      </c>
      <c r="D6">
        <v>58</v>
      </c>
      <c r="E6">
        <v>38</v>
      </c>
      <c r="F6" t="s">
        <v>0</v>
      </c>
      <c r="G6">
        <v>50</v>
      </c>
      <c r="H6">
        <v>0</v>
      </c>
      <c r="I6" t="s">
        <v>1</v>
      </c>
      <c r="J6" t="s">
        <v>3</v>
      </c>
      <c r="K6">
        <v>35</v>
      </c>
      <c r="L6" t="s">
        <v>39</v>
      </c>
      <c r="M6">
        <f t="shared" si="0"/>
        <v>35</v>
      </c>
      <c r="N6">
        <v>78</v>
      </c>
      <c r="O6" s="1">
        <f t="shared" si="1"/>
        <v>63.9</v>
      </c>
      <c r="P6" s="1">
        <f t="shared" si="2"/>
        <v>44.7</v>
      </c>
      <c r="Q6" s="17">
        <f t="shared" ref="Q6:Q10" si="11">P6/COS(RADIANS(D6+E6/60-O6/120))</f>
        <v>84.590843581424323</v>
      </c>
      <c r="R6">
        <f>D6+E6/60-O6/60</f>
        <v>57.568333333333335</v>
      </c>
      <c r="S6">
        <f t="shared" si="3"/>
        <v>57</v>
      </c>
      <c r="T6">
        <f t="shared" si="4"/>
        <v>34</v>
      </c>
      <c r="U6">
        <f>G6+H6/60-Q6/60</f>
        <v>48.590152606976261</v>
      </c>
      <c r="V6">
        <f t="shared" si="5"/>
        <v>48</v>
      </c>
      <c r="W6" s="8">
        <f t="shared" si="6"/>
        <v>35</v>
      </c>
    </row>
    <row r="7" spans="1:23" ht="14.45" x14ac:dyDescent="0.35">
      <c r="A7">
        <v>1916</v>
      </c>
      <c r="B7">
        <v>5</v>
      </c>
      <c r="C7">
        <v>1</v>
      </c>
      <c r="D7">
        <v>57</v>
      </c>
      <c r="E7">
        <v>34</v>
      </c>
      <c r="F7" t="s">
        <v>0</v>
      </c>
      <c r="G7">
        <v>48</v>
      </c>
      <c r="H7">
        <v>36</v>
      </c>
      <c r="I7" t="s">
        <v>1</v>
      </c>
      <c r="J7" t="s">
        <v>3</v>
      </c>
      <c r="K7">
        <v>40</v>
      </c>
      <c r="L7" t="s">
        <v>39</v>
      </c>
      <c r="M7">
        <f t="shared" si="0"/>
        <v>40</v>
      </c>
      <c r="N7">
        <v>30</v>
      </c>
      <c r="O7" s="1">
        <f t="shared" si="1"/>
        <v>23</v>
      </c>
      <c r="P7" s="1">
        <f t="shared" si="2"/>
        <v>19.3</v>
      </c>
      <c r="Q7" s="7">
        <f t="shared" si="11"/>
        <v>35.797863330865475</v>
      </c>
      <c r="R7">
        <f>D7+E7/60-O7/60</f>
        <v>57.183333333333337</v>
      </c>
      <c r="S7">
        <f t="shared" si="3"/>
        <v>57</v>
      </c>
      <c r="T7">
        <f t="shared" si="4"/>
        <v>11</v>
      </c>
      <c r="U7">
        <f>G7+H7/60-Q7/60</f>
        <v>48.00336894448558</v>
      </c>
      <c r="V7">
        <f t="shared" si="5"/>
        <v>48</v>
      </c>
      <c r="W7">
        <f t="shared" si="6"/>
        <v>0</v>
      </c>
    </row>
    <row r="8" spans="1:23" ht="14.45" x14ac:dyDescent="0.35">
      <c r="A8">
        <v>1916</v>
      </c>
      <c r="B8">
        <v>5</v>
      </c>
      <c r="C8">
        <v>2</v>
      </c>
      <c r="D8">
        <v>57</v>
      </c>
      <c r="E8">
        <v>11</v>
      </c>
      <c r="F8" t="s">
        <v>0</v>
      </c>
      <c r="G8">
        <v>48</v>
      </c>
      <c r="H8">
        <v>1</v>
      </c>
      <c r="I8" t="s">
        <v>1</v>
      </c>
      <c r="J8" t="s">
        <v>3</v>
      </c>
      <c r="K8">
        <v>50</v>
      </c>
      <c r="L8" t="s">
        <v>39</v>
      </c>
      <c r="M8">
        <f t="shared" si="0"/>
        <v>50</v>
      </c>
      <c r="N8">
        <v>45</v>
      </c>
      <c r="O8" s="1">
        <f t="shared" si="1"/>
        <v>28.9</v>
      </c>
      <c r="P8" s="1">
        <f t="shared" si="2"/>
        <v>34.5</v>
      </c>
      <c r="Q8" s="7">
        <f t="shared" si="11"/>
        <v>63.246999718929651</v>
      </c>
      <c r="R8">
        <f>D8+E8/60-O8/60</f>
        <v>56.701666666666661</v>
      </c>
      <c r="S8">
        <f t="shared" si="3"/>
        <v>56</v>
      </c>
      <c r="T8">
        <f t="shared" si="4"/>
        <v>42</v>
      </c>
      <c r="U8">
        <f>G8+H8/60-Q8/60</f>
        <v>46.962550004684502</v>
      </c>
      <c r="V8">
        <f t="shared" si="5"/>
        <v>46</v>
      </c>
      <c r="W8">
        <f t="shared" si="6"/>
        <v>58</v>
      </c>
    </row>
    <row r="9" spans="1:23" ht="14.45" x14ac:dyDescent="0.35">
      <c r="A9">
        <v>1916</v>
      </c>
      <c r="B9">
        <v>5</v>
      </c>
      <c r="C9">
        <v>3</v>
      </c>
      <c r="D9">
        <v>56</v>
      </c>
      <c r="E9">
        <v>42</v>
      </c>
      <c r="F9" t="s">
        <v>0</v>
      </c>
      <c r="G9">
        <v>46</v>
      </c>
      <c r="H9">
        <v>58</v>
      </c>
      <c r="I9" t="s">
        <v>1</v>
      </c>
      <c r="J9" t="s">
        <v>3</v>
      </c>
      <c r="K9">
        <v>55</v>
      </c>
      <c r="L9" t="s">
        <v>39</v>
      </c>
      <c r="M9">
        <f t="shared" si="0"/>
        <v>55</v>
      </c>
      <c r="N9">
        <v>85</v>
      </c>
      <c r="O9" s="1">
        <f t="shared" si="1"/>
        <v>48.8</v>
      </c>
      <c r="P9" s="1">
        <f t="shared" si="2"/>
        <v>69.599999999999994</v>
      </c>
      <c r="Q9" s="7">
        <f t="shared" si="11"/>
        <v>125.41868714277399</v>
      </c>
      <c r="R9">
        <f>D9+E9/60-O9/60</f>
        <v>55.88666666666667</v>
      </c>
      <c r="S9">
        <f t="shared" si="3"/>
        <v>55</v>
      </c>
      <c r="T9">
        <f t="shared" si="4"/>
        <v>53</v>
      </c>
      <c r="U9">
        <f>G9+H9/60-Q9/60</f>
        <v>44.876355214287102</v>
      </c>
      <c r="V9">
        <f t="shared" si="5"/>
        <v>44</v>
      </c>
      <c r="W9">
        <f t="shared" si="6"/>
        <v>53</v>
      </c>
    </row>
    <row r="10" spans="1:23" ht="14.45" x14ac:dyDescent="0.35">
      <c r="A10">
        <v>1916</v>
      </c>
      <c r="B10">
        <v>5</v>
      </c>
      <c r="C10">
        <v>4</v>
      </c>
      <c r="D10">
        <v>56</v>
      </c>
      <c r="E10">
        <v>13</v>
      </c>
      <c r="F10" t="s">
        <v>0</v>
      </c>
      <c r="G10">
        <v>45</v>
      </c>
      <c r="H10">
        <v>38</v>
      </c>
      <c r="I10" t="s">
        <v>1</v>
      </c>
      <c r="J10" t="s">
        <v>3</v>
      </c>
      <c r="K10">
        <v>45</v>
      </c>
      <c r="L10" t="s">
        <v>39</v>
      </c>
      <c r="M10">
        <f t="shared" si="0"/>
        <v>45</v>
      </c>
      <c r="N10" s="16">
        <v>70</v>
      </c>
      <c r="O10" s="1">
        <f t="shared" si="1"/>
        <v>49.5</v>
      </c>
      <c r="P10" s="1">
        <f t="shared" si="2"/>
        <v>49.5</v>
      </c>
      <c r="Q10" s="7">
        <f t="shared" si="11"/>
        <v>88.074651390397321</v>
      </c>
      <c r="R10">
        <f>D10+E10/60-O10/60</f>
        <v>55.391666666666666</v>
      </c>
      <c r="S10">
        <f t="shared" si="3"/>
        <v>55</v>
      </c>
      <c r="T10">
        <f t="shared" si="4"/>
        <v>23</v>
      </c>
      <c r="U10">
        <f>G10+H10/60-Q10/60</f>
        <v>44.165422476826713</v>
      </c>
      <c r="V10">
        <f t="shared" si="5"/>
        <v>44</v>
      </c>
      <c r="W10">
        <f t="shared" si="6"/>
        <v>10</v>
      </c>
    </row>
    <row r="11" spans="1:23" ht="14.45" x14ac:dyDescent="0.35">
      <c r="A11">
        <v>1916</v>
      </c>
      <c r="B11">
        <v>5</v>
      </c>
      <c r="C11">
        <v>5</v>
      </c>
      <c r="D11">
        <v>55</v>
      </c>
      <c r="E11">
        <v>31</v>
      </c>
      <c r="F11" t="s">
        <v>0</v>
      </c>
      <c r="G11">
        <v>44</v>
      </c>
      <c r="H11">
        <v>43</v>
      </c>
      <c r="I11" t="s">
        <v>1</v>
      </c>
      <c r="J11" t="s">
        <v>3</v>
      </c>
      <c r="K11">
        <v>50</v>
      </c>
      <c r="L11" t="s">
        <v>39</v>
      </c>
      <c r="M11">
        <f t="shared" si="0"/>
        <v>50</v>
      </c>
      <c r="N11">
        <v>90</v>
      </c>
      <c r="Q11" s="7"/>
    </row>
    <row r="12" spans="1:23" ht="14.45" x14ac:dyDescent="0.35">
      <c r="A12">
        <v>1916</v>
      </c>
      <c r="B12">
        <v>5</v>
      </c>
      <c r="C12">
        <v>6</v>
      </c>
      <c r="D12">
        <v>55</v>
      </c>
      <c r="E12">
        <v>31</v>
      </c>
      <c r="F12" t="s">
        <v>0</v>
      </c>
      <c r="G12">
        <v>42</v>
      </c>
      <c r="H12">
        <v>36</v>
      </c>
      <c r="I12" t="s">
        <v>1</v>
      </c>
      <c r="J12" t="s">
        <v>3</v>
      </c>
      <c r="K12">
        <v>30</v>
      </c>
      <c r="L12" t="s">
        <v>39</v>
      </c>
      <c r="M12">
        <f t="shared" si="0"/>
        <v>30</v>
      </c>
      <c r="N12">
        <v>16</v>
      </c>
      <c r="O12" s="1">
        <f>ROUND(N12*COS(RADIANS(M12)),1)</f>
        <v>13.9</v>
      </c>
      <c r="P12" s="1">
        <f>ROUND(N12*SIN(RADIANS(M12)),1)</f>
        <v>8</v>
      </c>
      <c r="Q12" s="7"/>
    </row>
    <row r="13" spans="1:23" ht="14.45" x14ac:dyDescent="0.35">
      <c r="J13" t="s">
        <v>0</v>
      </c>
      <c r="K13">
        <v>80</v>
      </c>
      <c r="L13" t="s">
        <v>39</v>
      </c>
      <c r="M13">
        <f>IF(UPPER(J13)="S",180+IF(UPPER(L13)="W",1,-1)*K13,MOD(IF(UPPER(L13)="W",-1,1)*K13,360))</f>
        <v>100</v>
      </c>
      <c r="N13">
        <v>58</v>
      </c>
      <c r="O13" s="1">
        <f>ROUND(N13*COS(RADIANS(M13)),1)</f>
        <v>-10.1</v>
      </c>
      <c r="P13" s="1">
        <f>ROUND(N13*SIN(RADIANS(M13)),1)</f>
        <v>57.1</v>
      </c>
      <c r="Q13" s="7"/>
    </row>
    <row r="14" spans="1:23" ht="14.45" x14ac:dyDescent="0.35">
      <c r="O14" s="1">
        <f>O12+O13</f>
        <v>3.8000000000000007</v>
      </c>
      <c r="P14" s="1">
        <f>P12+P13</f>
        <v>65.099999999999994</v>
      </c>
      <c r="Q14" s="7"/>
    </row>
    <row r="15" spans="1:23" ht="14.45" x14ac:dyDescent="0.35">
      <c r="A15">
        <v>1916</v>
      </c>
      <c r="B15">
        <v>5</v>
      </c>
      <c r="C15">
        <v>7</v>
      </c>
      <c r="D15">
        <v>54</v>
      </c>
      <c r="E15">
        <v>26</v>
      </c>
      <c r="F15" t="s">
        <v>0</v>
      </c>
      <c r="G15">
        <v>40</v>
      </c>
      <c r="H15">
        <v>44</v>
      </c>
      <c r="I15" t="s">
        <v>1</v>
      </c>
      <c r="J15" t="s">
        <v>0</v>
      </c>
      <c r="K15">
        <v>60</v>
      </c>
      <c r="L15" t="s">
        <v>39</v>
      </c>
      <c r="M15">
        <f>IF(UPPER(J15)="S",180+IF(UPPER(L15)="W",1,-1)*K15,MOD(IF(UPPER(L15)="W",-1,1)*K15,360))</f>
        <v>120</v>
      </c>
      <c r="N15">
        <v>12</v>
      </c>
      <c r="O15" s="18">
        <f>ROUND(N15*COS(RADIANS(M15)),1)</f>
        <v>-6</v>
      </c>
      <c r="P15" s="1">
        <f>ROUND(N15*SIN(RADIANS(M15)),1)</f>
        <v>10.4</v>
      </c>
      <c r="Q15" s="7"/>
    </row>
    <row r="16" spans="1:23" ht="14.45" x14ac:dyDescent="0.35">
      <c r="J16" t="s">
        <v>3</v>
      </c>
      <c r="K16">
        <v>70</v>
      </c>
      <c r="L16" t="s">
        <v>39</v>
      </c>
      <c r="M16">
        <f>IF(UPPER(J16)="S",180+IF(UPPER(L16)="W",1,-1)*K16,MOD(IF(UPPER(L16)="W",-1,1)*K16,360))</f>
        <v>70</v>
      </c>
      <c r="N16">
        <v>28</v>
      </c>
      <c r="O16" s="1">
        <f>ROUND(N16*COS(RADIANS(M16)),1)</f>
        <v>9.6</v>
      </c>
      <c r="P16" s="1">
        <f>ROUND(N16*SIN(RADIANS(M16)),1)</f>
        <v>26.3</v>
      </c>
      <c r="Q16" s="7"/>
    </row>
    <row r="17" spans="1:24" ht="14.45" x14ac:dyDescent="0.35">
      <c r="O17" s="18">
        <f>O15+O16</f>
        <v>3.5999999999999996</v>
      </c>
      <c r="P17" s="1">
        <f>P15+P16</f>
        <v>36.700000000000003</v>
      </c>
      <c r="Q17" s="7">
        <f>P17/COS(RADIANS(D15+E15/60-O17/120))</f>
        <v>63.050222185630929</v>
      </c>
      <c r="R17">
        <f>D15+E15/60-O17/60</f>
        <v>54.373333333333328</v>
      </c>
      <c r="S17">
        <f t="shared" ref="S17" si="12">INT(R17)</f>
        <v>54</v>
      </c>
      <c r="T17" s="8">
        <f t="shared" ref="T17" si="13">ROUND((R17-S17)*60,0)</f>
        <v>22</v>
      </c>
      <c r="U17">
        <f>G15+H15/60-Q17/60</f>
        <v>39.682496296906152</v>
      </c>
      <c r="V17">
        <f t="shared" ref="V17" si="14">INT(U17)</f>
        <v>39</v>
      </c>
      <c r="W17" s="8">
        <f t="shared" ref="W17" si="15">ROUND((U17-V17)*60,0)</f>
        <v>41</v>
      </c>
    </row>
    <row r="18" spans="1:24" ht="14.45" x14ac:dyDescent="0.35">
      <c r="O18" s="19">
        <v>16.100000000000001</v>
      </c>
      <c r="P18" s="1">
        <v>36.700000000000003</v>
      </c>
      <c r="Q18" s="7"/>
      <c r="T18" s="8"/>
      <c r="X18" t="s">
        <v>46</v>
      </c>
    </row>
    <row r="19" spans="1:24" ht="14.45" x14ac:dyDescent="0.35">
      <c r="A19">
        <v>1916</v>
      </c>
      <c r="B19">
        <v>5</v>
      </c>
      <c r="C19">
        <v>8</v>
      </c>
      <c r="D19">
        <v>54</v>
      </c>
      <c r="E19">
        <v>38</v>
      </c>
      <c r="F19" t="s">
        <v>0</v>
      </c>
      <c r="G19">
        <v>39</v>
      </c>
      <c r="H19">
        <v>34</v>
      </c>
      <c r="I19" t="s">
        <v>1</v>
      </c>
      <c r="J19" t="s">
        <v>3</v>
      </c>
      <c r="K19">
        <v>78</v>
      </c>
      <c r="L19" t="s">
        <v>39</v>
      </c>
      <c r="M19">
        <f t="shared" ref="M19" si="16">IF(UPPER(J19)="S",180+IF(UPPER(L19)="W",1,-1)*K19,MOD(IF(UPPER(L19)="W",-1,1)*K19,360))</f>
        <v>78</v>
      </c>
      <c r="N19">
        <v>90</v>
      </c>
      <c r="O19" s="1">
        <f>ROUND(N19*COS(RADIANS(M19)),1)</f>
        <v>18.7</v>
      </c>
      <c r="P19" s="1">
        <f>ROUND(N19*SIN(RADIANS(M19)),1)</f>
        <v>88</v>
      </c>
      <c r="Q19" s="17">
        <f>P19/COS(RADIANS(D19+E19/60-O19/120))</f>
        <v>151.4570999115314</v>
      </c>
      <c r="R19">
        <f>D19+E19/60-O19/60</f>
        <v>54.321666666666665</v>
      </c>
      <c r="S19">
        <f t="shared" si="3"/>
        <v>54</v>
      </c>
      <c r="T19">
        <f t="shared" ref="T19" si="17">ROUND((R19-S19)*60,0)</f>
        <v>19</v>
      </c>
      <c r="U19">
        <f>G19+H19/60-Q19/60</f>
        <v>37.042381668141147</v>
      </c>
      <c r="V19">
        <f t="shared" si="5"/>
        <v>37</v>
      </c>
      <c r="W19" s="8">
        <f t="shared" ref="W19" si="18">ROUND((U19-V19)*60,0)</f>
        <v>3</v>
      </c>
    </row>
    <row r="20" spans="1:24" ht="14.45" x14ac:dyDescent="0.35">
      <c r="O20" s="18"/>
    </row>
  </sheetData>
  <mergeCells count="3">
    <mergeCell ref="J2:L2"/>
    <mergeCell ref="D1:I1"/>
    <mergeCell ref="S1:W1"/>
  </mergeCells>
  <pageMargins left="0.7" right="0.7" top="0.75" bottom="0.75" header="0.3" footer="0.3"/>
  <ignoredErrors>
    <ignoredError sqref="O14:P1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abSelected="1" topLeftCell="F13" workbookViewId="0">
      <selection activeCell="Z29" sqref="Z29"/>
    </sheetView>
  </sheetViews>
  <sheetFormatPr defaultRowHeight="15" x14ac:dyDescent="0.25"/>
  <cols>
    <col min="1" max="1" width="12.5703125" bestFit="1" customWidth="1"/>
    <col min="2" max="2" width="4.85546875" bestFit="1" customWidth="1"/>
    <col min="3" max="3" width="4.140625" customWidth="1"/>
    <col min="4" max="4" width="3.5703125" customWidth="1"/>
    <col min="5" max="5" width="5.85546875" customWidth="1"/>
    <col min="6" max="6" width="5.140625" customWidth="1"/>
    <col min="7" max="7" width="5.7109375" customWidth="1"/>
    <col min="8" max="8" width="11.42578125" hidden="1" customWidth="1"/>
    <col min="10" max="10" width="5.42578125" customWidth="1"/>
    <col min="11" max="11" width="2.7109375" customWidth="1"/>
    <col min="12" max="12" width="0" hidden="1" customWidth="1"/>
    <col min="15" max="15" width="2.5703125" bestFit="1" customWidth="1"/>
    <col min="16" max="16" width="0" hidden="1" customWidth="1"/>
    <col min="17" max="18" width="7.85546875" bestFit="1" customWidth="1"/>
    <col min="19" max="19" width="9.42578125" customWidth="1"/>
    <col min="23" max="23" width="15.5703125" bestFit="1" customWidth="1"/>
    <col min="24" max="24" width="15.5703125" customWidth="1"/>
    <col min="25" max="25" width="13" style="1" customWidth="1"/>
  </cols>
  <sheetData>
    <row r="1" spans="1:28" ht="30" x14ac:dyDescent="0.25">
      <c r="E1" t="s">
        <v>2</v>
      </c>
      <c r="F1" t="s">
        <v>5</v>
      </c>
      <c r="G1" t="s">
        <v>6</v>
      </c>
      <c r="I1" s="6" t="s">
        <v>16</v>
      </c>
      <c r="J1" s="6" t="s">
        <v>17</v>
      </c>
      <c r="M1" s="6" t="s">
        <v>16</v>
      </c>
      <c r="N1" s="6" t="s">
        <v>17</v>
      </c>
      <c r="Q1" t="s">
        <v>42</v>
      </c>
      <c r="R1" t="s">
        <v>33</v>
      </c>
      <c r="W1" s="27" t="s">
        <v>66</v>
      </c>
      <c r="X1" s="27" t="s">
        <v>67</v>
      </c>
      <c r="Y1" s="1" t="s">
        <v>68</v>
      </c>
      <c r="Z1" s="30" t="s">
        <v>71</v>
      </c>
      <c r="AA1" s="26" t="s">
        <v>15</v>
      </c>
      <c r="AB1" s="26"/>
    </row>
    <row r="2" spans="1:28" x14ac:dyDescent="0.25">
      <c r="A2" t="s">
        <v>21</v>
      </c>
      <c r="B2">
        <v>1916</v>
      </c>
      <c r="C2">
        <v>4</v>
      </c>
      <c r="D2">
        <v>24</v>
      </c>
      <c r="E2">
        <f>INT(H2)</f>
        <v>15</v>
      </c>
      <c r="F2">
        <f>INT((H2-E2)*60)</f>
        <v>39</v>
      </c>
      <c r="G2">
        <f>(H2-E2-F2/60)*3600</f>
        <v>19.999999999997932</v>
      </c>
      <c r="H2">
        <f>12+(M2+N2/60)/15</f>
        <v>15.655555555555555</v>
      </c>
      <c r="I2">
        <v>61</v>
      </c>
      <c r="J2">
        <v>4</v>
      </c>
      <c r="K2" t="s">
        <v>0</v>
      </c>
      <c r="L2">
        <f>I2+J2/60</f>
        <v>61.06666666666667</v>
      </c>
      <c r="M2">
        <v>54</v>
      </c>
      <c r="N2">
        <v>50</v>
      </c>
      <c r="O2" t="s">
        <v>1</v>
      </c>
      <c r="P2">
        <f>M2+N2/60</f>
        <v>54.833333333333336</v>
      </c>
      <c r="W2">
        <v>0</v>
      </c>
    </row>
    <row r="3" spans="1:28" ht="16.5" x14ac:dyDescent="0.35">
      <c r="I3">
        <f>INT(L3)</f>
        <v>60</v>
      </c>
      <c r="J3">
        <f>(L3-I3)*60</f>
        <v>56.608963739909797</v>
      </c>
      <c r="L3">
        <f>(I2+J2/60)-Q3/60*COS(RADIANS(R3))</f>
        <v>60.943482728998497</v>
      </c>
      <c r="M3">
        <f>INT(P3)</f>
        <v>54</v>
      </c>
      <c r="N3">
        <f>(P3-M3)*60</f>
        <v>43.685217184087293</v>
      </c>
      <c r="P3">
        <f>P2-Q3/60*SIN(RADIANS(R3))/COS(RADIANS(L2-Q3/120))</f>
        <v>54.728086953068122</v>
      </c>
      <c r="Q3">
        <v>8</v>
      </c>
      <c r="R3">
        <v>22.5</v>
      </c>
      <c r="S3" t="s">
        <v>47</v>
      </c>
    </row>
    <row r="4" spans="1:28" ht="16.5" x14ac:dyDescent="0.35">
      <c r="I4">
        <f>INT(L4)</f>
        <v>60</v>
      </c>
      <c r="J4">
        <f>(L4-I4)*60</f>
        <v>56.608963739909797</v>
      </c>
      <c r="L4">
        <f>(I3+J3/60)-Q4/60*COS(RADIANS(R4))</f>
        <v>60.943482728998497</v>
      </c>
      <c r="M4">
        <f>INT(P4)</f>
        <v>54</v>
      </c>
      <c r="N4">
        <f>(P4-M4)*60</f>
        <v>41.626753749464029</v>
      </c>
      <c r="P4">
        <f>P3-Q4/60*SIN(RADIANS(R4))/COS(RADIANS(L3-Q4/120))</f>
        <v>54.693779229157734</v>
      </c>
      <c r="Q4">
        <v>1</v>
      </c>
      <c r="R4">
        <v>90</v>
      </c>
      <c r="S4" t="s">
        <v>48</v>
      </c>
      <c r="Z4" t="s">
        <v>69</v>
      </c>
      <c r="AA4" t="s">
        <v>70</v>
      </c>
      <c r="AB4" t="s">
        <v>69</v>
      </c>
    </row>
    <row r="5" spans="1:28" s="21" customFormat="1" ht="16.5" x14ac:dyDescent="0.35">
      <c r="B5" s="21">
        <v>1916</v>
      </c>
      <c r="C5" s="21">
        <v>4</v>
      </c>
      <c r="D5" s="21">
        <v>25</v>
      </c>
      <c r="E5" s="21">
        <v>15</v>
      </c>
      <c r="F5" s="21">
        <v>39</v>
      </c>
      <c r="G5" s="21">
        <v>20.00000000000113</v>
      </c>
      <c r="I5" s="21">
        <v>60</v>
      </c>
      <c r="J5" s="21">
        <v>0</v>
      </c>
      <c r="M5" s="21">
        <v>54</v>
      </c>
      <c r="N5" s="21">
        <v>50</v>
      </c>
      <c r="S5" s="21" t="s">
        <v>49</v>
      </c>
      <c r="W5" s="21">
        <v>11</v>
      </c>
      <c r="X5" s="21">
        <f>W5/4</f>
        <v>2.75</v>
      </c>
      <c r="Y5" s="28">
        <f>COS(I5*PI()/180)*X5</f>
        <v>1.3750000000000002</v>
      </c>
      <c r="Z5" s="21">
        <f>((M5+N5/60)*60)-X5</f>
        <v>3287.25</v>
      </c>
      <c r="AA5" s="21">
        <f>FLOOR(Z5/60,1)</f>
        <v>54</v>
      </c>
      <c r="AB5" s="21">
        <f>(Z5/60-AA5)*60</f>
        <v>47.250000000000085</v>
      </c>
    </row>
    <row r="6" spans="1:28" ht="14.45" x14ac:dyDescent="0.35">
      <c r="B6">
        <v>1916</v>
      </c>
      <c r="C6">
        <v>4</v>
      </c>
      <c r="D6">
        <v>26</v>
      </c>
      <c r="E6">
        <v>14</v>
      </c>
      <c r="F6">
        <v>26</v>
      </c>
      <c r="G6">
        <v>6</v>
      </c>
      <c r="I6">
        <v>59</v>
      </c>
      <c r="J6">
        <v>50</v>
      </c>
      <c r="M6">
        <v>50</v>
      </c>
      <c r="N6">
        <v>48.5</v>
      </c>
      <c r="S6" t="s">
        <v>50</v>
      </c>
      <c r="W6">
        <v>22</v>
      </c>
      <c r="X6">
        <f>W6/4</f>
        <v>5.5</v>
      </c>
      <c r="Y6" s="28">
        <f>COS(I6*PI()/180)*X6</f>
        <v>2.8327094120052991</v>
      </c>
    </row>
    <row r="7" spans="1:28" ht="14.45" x14ac:dyDescent="0.35">
      <c r="B7">
        <v>1916</v>
      </c>
      <c r="C7">
        <v>4</v>
      </c>
      <c r="D7">
        <v>26</v>
      </c>
      <c r="E7">
        <v>15</v>
      </c>
      <c r="F7">
        <v>39</v>
      </c>
      <c r="G7">
        <v>20.00000000000113</v>
      </c>
      <c r="I7">
        <v>59</v>
      </c>
      <c r="J7">
        <v>46</v>
      </c>
      <c r="M7">
        <v>50</v>
      </c>
      <c r="N7">
        <v>49</v>
      </c>
      <c r="S7" t="s">
        <v>51</v>
      </c>
    </row>
    <row r="8" spans="1:28" ht="14.45" x14ac:dyDescent="0.35">
      <c r="B8">
        <v>1916</v>
      </c>
      <c r="C8">
        <v>4</v>
      </c>
      <c r="D8">
        <v>26</v>
      </c>
      <c r="E8">
        <f>INT(H8)</f>
        <v>15</v>
      </c>
      <c r="F8">
        <f>INT((H8-E8)*60)</f>
        <v>20</v>
      </c>
      <c r="G8">
        <f>(H8-E8-F8/60)*3600</f>
        <v>7.9999999999970539</v>
      </c>
      <c r="H8">
        <f>12+(M9+N9/60)/15-(2+15/60)/15</f>
        <v>15.335555555555555</v>
      </c>
      <c r="I8">
        <v>59</v>
      </c>
      <c r="J8">
        <f>47+44/60</f>
        <v>47.733333333333334</v>
      </c>
      <c r="S8" t="s">
        <v>52</v>
      </c>
    </row>
    <row r="9" spans="1:28" s="21" customFormat="1" ht="14.45" x14ac:dyDescent="0.35">
      <c r="B9" s="21">
        <v>1916</v>
      </c>
      <c r="C9" s="21">
        <v>4</v>
      </c>
      <c r="D9" s="21">
        <v>26</v>
      </c>
      <c r="E9" s="21">
        <v>15</v>
      </c>
      <c r="F9" s="21">
        <v>39</v>
      </c>
      <c r="G9" s="21">
        <v>20.00000000000113</v>
      </c>
      <c r="I9" s="21">
        <v>58</v>
      </c>
      <c r="J9" s="21">
        <v>42</v>
      </c>
      <c r="M9" s="21">
        <v>52</v>
      </c>
      <c r="N9" s="21">
        <v>17</v>
      </c>
      <c r="S9" s="21" t="s">
        <v>53</v>
      </c>
      <c r="Y9" s="28"/>
    </row>
    <row r="10" spans="1:28" s="22" customFormat="1" ht="14.45" x14ac:dyDescent="0.35">
      <c r="B10" s="22">
        <v>1916</v>
      </c>
      <c r="C10" s="22">
        <v>4</v>
      </c>
      <c r="D10" s="22">
        <v>27</v>
      </c>
      <c r="E10" s="22">
        <v>15</v>
      </c>
      <c r="F10" s="22">
        <v>39</v>
      </c>
      <c r="G10" s="22">
        <v>20.00000000000113</v>
      </c>
      <c r="I10" s="22">
        <v>59</v>
      </c>
      <c r="J10" s="22">
        <v>46</v>
      </c>
      <c r="M10" s="22">
        <v>50</v>
      </c>
      <c r="N10" s="22">
        <v>48</v>
      </c>
      <c r="W10" s="22">
        <v>33</v>
      </c>
      <c r="X10" s="22">
        <f>W10/4</f>
        <v>8.25</v>
      </c>
      <c r="Y10" s="28">
        <f>COS(I10*PI()/180)*X10</f>
        <v>4.2490641180079489</v>
      </c>
      <c r="Z10" s="21">
        <f>((M10+N10/60)*60)-X10</f>
        <v>3039.75</v>
      </c>
      <c r="AA10" s="21">
        <f>FLOOR(Z10/60,1)</f>
        <v>50</v>
      </c>
      <c r="AB10" s="21">
        <f>(Z10/60-AA10)*60</f>
        <v>39.750000000000085</v>
      </c>
    </row>
    <row r="11" spans="1:28" s="22" customFormat="1" ht="17.25" x14ac:dyDescent="0.25">
      <c r="B11" s="22">
        <v>1916</v>
      </c>
      <c r="C11" s="22">
        <v>4</v>
      </c>
      <c r="D11" s="22">
        <v>28</v>
      </c>
      <c r="E11" s="22">
        <v>15</v>
      </c>
      <c r="F11" s="22">
        <v>39</v>
      </c>
      <c r="G11" s="22">
        <v>20.00000000000113</v>
      </c>
      <c r="I11" s="22">
        <v>59</v>
      </c>
      <c r="J11" s="22">
        <v>52</v>
      </c>
      <c r="M11" s="22">
        <v>50</v>
      </c>
      <c r="N11" s="22">
        <v>16</v>
      </c>
      <c r="S11" s="22" t="s">
        <v>54</v>
      </c>
      <c r="W11" s="22">
        <v>44</v>
      </c>
      <c r="X11" s="22">
        <f>W11/4</f>
        <v>11</v>
      </c>
      <c r="Y11" s="28">
        <f>COS(I11*PI()/180)*X11</f>
        <v>5.6654188240105983</v>
      </c>
      <c r="Z11" s="21">
        <f>((M11+N11/60)*60)-X11</f>
        <v>3005</v>
      </c>
      <c r="AA11" s="21">
        <f>FLOOR(Z11/60,1)</f>
        <v>50</v>
      </c>
      <c r="AB11" s="21">
        <f>(Z11/60-AA11)*60</f>
        <v>5.0000000000001421</v>
      </c>
    </row>
    <row r="12" spans="1:28" ht="14.45" x14ac:dyDescent="0.35">
      <c r="B12">
        <v>1916</v>
      </c>
      <c r="C12">
        <v>4</v>
      </c>
      <c r="D12">
        <v>29</v>
      </c>
      <c r="E12">
        <v>12</v>
      </c>
      <c r="F12">
        <v>59</v>
      </c>
      <c r="G12">
        <v>5</v>
      </c>
      <c r="I12">
        <v>58</v>
      </c>
      <c r="J12">
        <v>48</v>
      </c>
      <c r="M12">
        <v>50</v>
      </c>
      <c r="N12">
        <f>31+34/60</f>
        <v>31.566666666666666</v>
      </c>
      <c r="S12" t="s">
        <v>50</v>
      </c>
    </row>
    <row r="13" spans="1:28" ht="14.45" x14ac:dyDescent="0.35">
      <c r="B13">
        <v>1916</v>
      </c>
      <c r="C13">
        <v>4</v>
      </c>
      <c r="D13">
        <v>29</v>
      </c>
      <c r="E13">
        <v>15</v>
      </c>
      <c r="F13">
        <v>39</v>
      </c>
      <c r="G13">
        <v>20.00000000000113</v>
      </c>
      <c r="I13">
        <v>58</v>
      </c>
      <c r="J13">
        <v>38</v>
      </c>
      <c r="M13">
        <v>50</v>
      </c>
      <c r="N13">
        <v>0</v>
      </c>
      <c r="S13" t="s">
        <v>51</v>
      </c>
    </row>
    <row r="14" spans="1:28" s="21" customFormat="1" ht="14.45" x14ac:dyDescent="0.35">
      <c r="B14" s="21">
        <v>1916</v>
      </c>
      <c r="C14" s="21">
        <v>4</v>
      </c>
      <c r="D14" s="21">
        <v>29</v>
      </c>
      <c r="E14" s="21">
        <v>15</v>
      </c>
      <c r="F14" s="21">
        <v>39</v>
      </c>
      <c r="G14" s="21">
        <v>20.00000000000113</v>
      </c>
      <c r="I14" s="21">
        <v>58</v>
      </c>
      <c r="J14" s="21">
        <v>42</v>
      </c>
      <c r="M14" s="21">
        <v>48</v>
      </c>
      <c r="N14" s="21">
        <v>40</v>
      </c>
      <c r="S14" s="21" t="s">
        <v>55</v>
      </c>
      <c r="Y14" s="28"/>
    </row>
    <row r="15" spans="1:28" s="22" customFormat="1" x14ac:dyDescent="0.25">
      <c r="B15" s="22">
        <v>1916</v>
      </c>
      <c r="C15" s="22">
        <v>4</v>
      </c>
      <c r="D15" s="22">
        <v>30</v>
      </c>
      <c r="E15" s="22">
        <v>15</v>
      </c>
      <c r="F15" s="22">
        <v>39</v>
      </c>
      <c r="G15" s="22">
        <v>20.00000000000113</v>
      </c>
      <c r="I15" s="22">
        <v>57</v>
      </c>
      <c r="J15" s="22">
        <v>34</v>
      </c>
      <c r="M15" s="22">
        <v>48</v>
      </c>
      <c r="N15" s="22">
        <v>36</v>
      </c>
      <c r="S15" s="22" t="s">
        <v>64</v>
      </c>
      <c r="W15" s="22">
        <v>55</v>
      </c>
      <c r="X15" s="22">
        <f>W15/4</f>
        <v>13.75</v>
      </c>
      <c r="Y15" s="28">
        <f>COS(I15*PI()/180)*X15</f>
        <v>7.4887867314566243</v>
      </c>
      <c r="Z15" s="21">
        <f>((M15+N15/60)*60)-X15</f>
        <v>2902.25</v>
      </c>
      <c r="AA15" s="21">
        <f>FLOOR(Z15/60,1)</f>
        <v>48</v>
      </c>
      <c r="AB15" s="21">
        <f>(Z15/60-AA15)*60</f>
        <v>22.249999999999801</v>
      </c>
    </row>
    <row r="16" spans="1:28" s="22" customFormat="1" ht="17.25" x14ac:dyDescent="0.25">
      <c r="B16" s="22">
        <v>1916</v>
      </c>
      <c r="C16" s="22">
        <v>5</v>
      </c>
      <c r="D16" s="22">
        <v>1</v>
      </c>
      <c r="E16" s="22">
        <v>15</v>
      </c>
      <c r="F16" s="22">
        <v>39</v>
      </c>
      <c r="G16" s="22">
        <v>20.00000000000113</v>
      </c>
      <c r="I16" s="22">
        <v>57</v>
      </c>
      <c r="J16" s="22">
        <v>11</v>
      </c>
      <c r="M16" s="22">
        <v>48</v>
      </c>
      <c r="N16" s="22">
        <v>1</v>
      </c>
      <c r="S16" s="22" t="s">
        <v>56</v>
      </c>
      <c r="W16" s="22">
        <v>66</v>
      </c>
      <c r="X16" s="22">
        <f>W16/4</f>
        <v>16.5</v>
      </c>
      <c r="Y16" s="28">
        <f>COS(I16*PI()/180)*X16</f>
        <v>8.9865440777479488</v>
      </c>
      <c r="Z16" s="21">
        <f>((M16+N16/60)*60)-X16</f>
        <v>2864.5</v>
      </c>
      <c r="AA16" s="21">
        <f>FLOOR(Z16/60,1)</f>
        <v>47</v>
      </c>
      <c r="AB16" s="21">
        <f>(Z16/60-AA16)*60</f>
        <v>44.500000000000028</v>
      </c>
    </row>
    <row r="17" spans="2:28" s="22" customFormat="1" ht="17.25" x14ac:dyDescent="0.25">
      <c r="B17" s="22">
        <v>1916</v>
      </c>
      <c r="C17" s="22">
        <v>5</v>
      </c>
      <c r="D17" s="22">
        <v>2</v>
      </c>
      <c r="E17" s="22">
        <v>15</v>
      </c>
      <c r="F17" s="22">
        <v>39</v>
      </c>
      <c r="G17" s="22">
        <v>20.00000000000113</v>
      </c>
      <c r="I17" s="22">
        <v>56</v>
      </c>
      <c r="J17" s="22">
        <v>42</v>
      </c>
      <c r="M17" s="22">
        <v>46</v>
      </c>
      <c r="N17" s="22">
        <v>58</v>
      </c>
      <c r="S17" s="22" t="s">
        <v>57</v>
      </c>
      <c r="W17" s="22">
        <v>77</v>
      </c>
      <c r="X17" s="22">
        <f>W17/4</f>
        <v>19.25</v>
      </c>
      <c r="Y17" s="28">
        <f>COS(I17*PI()/180)*X17</f>
        <v>10.764463391811876</v>
      </c>
      <c r="Z17" s="21">
        <f>((M17+N17/60)*60)-X17</f>
        <v>2798.75</v>
      </c>
      <c r="AA17" s="21">
        <f>FLOOR(Z17/60,1)</f>
        <v>46</v>
      </c>
      <c r="AB17" s="21">
        <f>(Z17/60-AA17)*60</f>
        <v>38.750000000000142</v>
      </c>
    </row>
    <row r="18" spans="2:28" ht="14.45" x14ac:dyDescent="0.35">
      <c r="B18">
        <v>1916</v>
      </c>
      <c r="C18">
        <v>5</v>
      </c>
      <c r="D18">
        <v>3</v>
      </c>
      <c r="E18">
        <v>12</v>
      </c>
      <c r="F18">
        <v>27</v>
      </c>
      <c r="G18">
        <v>55</v>
      </c>
      <c r="I18">
        <v>56</v>
      </c>
      <c r="J18">
        <v>23</v>
      </c>
      <c r="M18">
        <v>45</v>
      </c>
      <c r="N18">
        <f>50.5</f>
        <v>50.5</v>
      </c>
      <c r="S18" t="s">
        <v>50</v>
      </c>
      <c r="W18" s="23">
        <v>88</v>
      </c>
      <c r="X18">
        <f>W18/4</f>
        <v>22</v>
      </c>
      <c r="Y18" s="28">
        <f>COS(I18*PI()/180)*X18</f>
        <v>12.30224387635643</v>
      </c>
      <c r="Z18" s="21">
        <f>((M18+N18/60)*60)-X18</f>
        <v>2728.5</v>
      </c>
      <c r="AA18" s="21">
        <f>FLOOR(Z18/60,1)</f>
        <v>45</v>
      </c>
      <c r="AB18" s="21">
        <f>(Z18/60-AA18)*60</f>
        <v>28.500000000000085</v>
      </c>
    </row>
    <row r="19" spans="2:28" ht="14.45" x14ac:dyDescent="0.35">
      <c r="B19">
        <v>1916</v>
      </c>
      <c r="C19">
        <v>5</v>
      </c>
      <c r="D19">
        <v>3</v>
      </c>
      <c r="E19">
        <v>15</v>
      </c>
      <c r="F19">
        <v>39</v>
      </c>
      <c r="G19">
        <v>20.00000000000113</v>
      </c>
      <c r="I19">
        <v>56</v>
      </c>
      <c r="J19">
        <v>13</v>
      </c>
      <c r="M19">
        <v>45</v>
      </c>
      <c r="N19">
        <v>38</v>
      </c>
      <c r="S19" t="s">
        <v>51</v>
      </c>
    </row>
    <row r="20" spans="2:28" s="21" customFormat="1" x14ac:dyDescent="0.25">
      <c r="B20" s="21">
        <v>1916</v>
      </c>
      <c r="C20" s="21">
        <v>5</v>
      </c>
      <c r="D20" s="21">
        <v>3</v>
      </c>
      <c r="E20" s="21">
        <v>15</v>
      </c>
      <c r="F20" s="21">
        <v>39</v>
      </c>
      <c r="G20" s="21">
        <v>20.00000000000113</v>
      </c>
      <c r="I20" s="21">
        <v>55</v>
      </c>
      <c r="J20" s="21">
        <v>53</v>
      </c>
      <c r="M20" s="21">
        <v>44</v>
      </c>
      <c r="N20" s="21">
        <v>53</v>
      </c>
      <c r="S20" s="21" t="s">
        <v>58</v>
      </c>
      <c r="Y20" s="28"/>
    </row>
    <row r="21" spans="2:28" ht="14.45" x14ac:dyDescent="0.35">
      <c r="B21">
        <v>1916</v>
      </c>
      <c r="C21">
        <v>5</v>
      </c>
      <c r="D21">
        <v>4</v>
      </c>
      <c r="E21">
        <v>13</v>
      </c>
      <c r="F21">
        <v>19</v>
      </c>
      <c r="G21">
        <v>11</v>
      </c>
      <c r="I21">
        <v>55</v>
      </c>
      <c r="J21">
        <v>34</v>
      </c>
      <c r="M21">
        <v>44</v>
      </c>
      <c r="N21">
        <f>50+13/60</f>
        <v>50.216666666666669</v>
      </c>
      <c r="S21" t="s">
        <v>50</v>
      </c>
      <c r="W21" s="23">
        <v>99</v>
      </c>
      <c r="X21">
        <f>W21/4</f>
        <v>24.75</v>
      </c>
      <c r="Y21" s="28">
        <f>COS(I21*PI()/180)*X21</f>
        <v>14.196016799688392</v>
      </c>
      <c r="Z21" s="21">
        <f>((M21+N21/60)*60)-X21</f>
        <v>2665.4666666666662</v>
      </c>
      <c r="AA21" s="21">
        <f>FLOOR(Z21/60,1)</f>
        <v>44</v>
      </c>
      <c r="AB21" s="21">
        <f>(Z21/60-AA21)*60</f>
        <v>25.466666666666384</v>
      </c>
    </row>
    <row r="22" spans="2:28" ht="14.45" x14ac:dyDescent="0.35">
      <c r="B22">
        <v>1916</v>
      </c>
      <c r="C22">
        <v>5</v>
      </c>
      <c r="D22">
        <v>4</v>
      </c>
      <c r="E22">
        <v>13</v>
      </c>
      <c r="F22">
        <v>19</v>
      </c>
      <c r="G22">
        <v>11</v>
      </c>
      <c r="I22">
        <v>55</v>
      </c>
      <c r="J22">
        <v>31</v>
      </c>
      <c r="M22">
        <v>44</v>
      </c>
      <c r="N22">
        <v>43</v>
      </c>
      <c r="S22" t="s">
        <v>51</v>
      </c>
    </row>
    <row r="23" spans="2:28" ht="14.45" x14ac:dyDescent="0.35">
      <c r="B23">
        <v>1916</v>
      </c>
      <c r="C23">
        <v>5</v>
      </c>
      <c r="D23">
        <v>4</v>
      </c>
      <c r="E23">
        <f>INT(H23)</f>
        <v>14</v>
      </c>
      <c r="F23">
        <f>INT((H23-E23)*60)</f>
        <v>43</v>
      </c>
      <c r="G23">
        <f>(H23-E23-F23/60)*3600</f>
        <v>27.99999999999838</v>
      </c>
      <c r="H23">
        <f>12+(M24+N24/60)/15-(3+18/60)/15</f>
        <v>14.724444444444444</v>
      </c>
      <c r="I23">
        <v>55</v>
      </c>
      <c r="J23">
        <v>23</v>
      </c>
      <c r="S23" t="s">
        <v>59</v>
      </c>
    </row>
    <row r="24" spans="2:28" s="21" customFormat="1" ht="14.1" customHeight="1" x14ac:dyDescent="0.25">
      <c r="B24" s="21">
        <v>1916</v>
      </c>
      <c r="C24" s="21">
        <v>5</v>
      </c>
      <c r="D24" s="21">
        <v>4</v>
      </c>
      <c r="E24" s="21">
        <v>15</v>
      </c>
      <c r="F24" s="21">
        <v>39</v>
      </c>
      <c r="G24" s="21">
        <v>20.00000000000113</v>
      </c>
      <c r="I24" s="21">
        <v>55</v>
      </c>
      <c r="J24" s="21">
        <v>23</v>
      </c>
      <c r="M24" s="21">
        <v>44</v>
      </c>
      <c r="N24" s="21">
        <v>10</v>
      </c>
      <c r="S24" s="21" t="s">
        <v>63</v>
      </c>
      <c r="Y24" s="28"/>
    </row>
    <row r="25" spans="2:28" s="22" customFormat="1" ht="14.45" x14ac:dyDescent="0.35">
      <c r="B25" s="22">
        <v>1916</v>
      </c>
      <c r="C25" s="22">
        <v>5</v>
      </c>
      <c r="D25" s="22">
        <v>5</v>
      </c>
      <c r="E25" s="22">
        <v>15</v>
      </c>
      <c r="F25" s="22">
        <v>39</v>
      </c>
      <c r="G25" s="22">
        <v>20.00000000000113</v>
      </c>
      <c r="I25" s="22">
        <v>54</v>
      </c>
      <c r="J25" s="22">
        <v>30</v>
      </c>
      <c r="M25" s="22">
        <v>42</v>
      </c>
      <c r="N25" s="22">
        <v>36</v>
      </c>
      <c r="W25" s="22">
        <v>110</v>
      </c>
      <c r="X25" s="22">
        <f>W25/4</f>
        <v>27.5</v>
      </c>
      <c r="Y25" s="28">
        <f>COS(I25*PI()/180)*X25</f>
        <v>16.164094438043012</v>
      </c>
      <c r="Z25" s="21">
        <f>((M25+N25/60)*60)-X25</f>
        <v>2528.5</v>
      </c>
      <c r="AA25" s="21">
        <f>FLOOR(Z25/60,1)</f>
        <v>42</v>
      </c>
      <c r="AB25" s="21">
        <f>(Z25/60-AA25)*60</f>
        <v>8.4999999999999432</v>
      </c>
    </row>
    <row r="26" spans="2:28" s="22" customFormat="1" x14ac:dyDescent="0.25">
      <c r="B26" s="22">
        <v>1916</v>
      </c>
      <c r="C26" s="22">
        <v>5</v>
      </c>
      <c r="D26" s="22">
        <v>6</v>
      </c>
      <c r="E26" s="22">
        <v>15</v>
      </c>
      <c r="F26" s="22">
        <v>39</v>
      </c>
      <c r="G26" s="22">
        <v>20.00000000000113</v>
      </c>
      <c r="I26" s="22">
        <v>54</v>
      </c>
      <c r="J26" s="22">
        <v>26</v>
      </c>
      <c r="M26" s="22">
        <v>40</v>
      </c>
      <c r="N26" s="22">
        <v>44</v>
      </c>
      <c r="W26" s="22">
        <v>121</v>
      </c>
      <c r="X26" s="22">
        <f>W26/4</f>
        <v>30.25</v>
      </c>
      <c r="Y26" s="28">
        <f>COS(I26*PI()/180)*X26</f>
        <v>17.780503881847313</v>
      </c>
      <c r="Z26" s="21">
        <f>((M26+N26/60)*60)-X26</f>
        <v>2413.75</v>
      </c>
      <c r="AA26" s="21">
        <f>FLOOR(Z26/60,1)</f>
        <v>40</v>
      </c>
      <c r="AB26" s="21">
        <f>(Z26/60-AA26)*60</f>
        <v>13.749999999999858</v>
      </c>
    </row>
    <row r="27" spans="2:28" ht="17.25" x14ac:dyDescent="0.25">
      <c r="B27" s="23">
        <v>1916</v>
      </c>
      <c r="C27" s="23">
        <v>5</v>
      </c>
      <c r="D27" s="23">
        <v>7</v>
      </c>
      <c r="E27">
        <v>15</v>
      </c>
      <c r="F27">
        <v>39</v>
      </c>
      <c r="G27">
        <v>20.00000000000113</v>
      </c>
      <c r="I27" s="23">
        <v>54</v>
      </c>
      <c r="J27" s="23">
        <v>23</v>
      </c>
      <c r="M27" s="23">
        <v>39</v>
      </c>
      <c r="N27" s="23">
        <v>40</v>
      </c>
      <c r="S27" s="23" t="s">
        <v>60</v>
      </c>
      <c r="W27">
        <v>132</v>
      </c>
      <c r="X27">
        <f>W27/4</f>
        <v>33</v>
      </c>
      <c r="Y27" s="29">
        <f>COS(I27*PI()/180)*X27</f>
        <v>19.396913325651614</v>
      </c>
      <c r="Z27" s="21">
        <f>((M27+N27/60)*60)-X27</f>
        <v>2347</v>
      </c>
      <c r="AA27" s="21">
        <f>FLOOR(Z27/60,1)</f>
        <v>39</v>
      </c>
      <c r="AB27" s="21">
        <f>(Z27/60-AA27)*60</f>
        <v>7.0000000000000284</v>
      </c>
    </row>
    <row r="28" spans="2:28" x14ac:dyDescent="0.25">
      <c r="B28" s="23">
        <v>1916</v>
      </c>
      <c r="C28" s="23">
        <v>5</v>
      </c>
      <c r="D28" s="23">
        <v>7</v>
      </c>
      <c r="E28" s="23">
        <v>13</v>
      </c>
      <c r="F28" s="23">
        <v>24</v>
      </c>
      <c r="G28" s="23">
        <v>51</v>
      </c>
      <c r="I28" s="23">
        <v>54</v>
      </c>
      <c r="J28" s="23">
        <v>39</v>
      </c>
      <c r="M28" s="23">
        <v>40</v>
      </c>
      <c r="N28" s="23">
        <v>1</v>
      </c>
      <c r="S28" s="23" t="s">
        <v>50</v>
      </c>
    </row>
    <row r="29" spans="2:28" x14ac:dyDescent="0.25">
      <c r="B29" s="23">
        <v>1916</v>
      </c>
      <c r="C29" s="23">
        <v>5</v>
      </c>
      <c r="D29" s="23">
        <v>7</v>
      </c>
      <c r="E29" s="23">
        <v>11</v>
      </c>
      <c r="F29" s="23">
        <v>19</v>
      </c>
      <c r="G29" s="23">
        <v>38</v>
      </c>
      <c r="I29" s="23">
        <v>54</v>
      </c>
      <c r="J29" s="23">
        <v>41.5</v>
      </c>
      <c r="M29" s="23">
        <v>39</v>
      </c>
      <c r="N29" s="23">
        <v>42</v>
      </c>
      <c r="S29" s="23" t="s">
        <v>50</v>
      </c>
    </row>
    <row r="30" spans="2:28" x14ac:dyDescent="0.25">
      <c r="B30" s="23">
        <v>1916</v>
      </c>
      <c r="C30" s="23">
        <v>5</v>
      </c>
      <c r="D30" s="23">
        <v>7</v>
      </c>
      <c r="E30" s="23">
        <v>17</v>
      </c>
      <c r="F30" s="23">
        <v>23</v>
      </c>
      <c r="G30" s="23">
        <v>14</v>
      </c>
      <c r="I30" s="23">
        <v>54</v>
      </c>
      <c r="J30" s="23">
        <v>33</v>
      </c>
      <c r="M30" s="23">
        <v>39</v>
      </c>
      <c r="N30" s="23">
        <v>11</v>
      </c>
      <c r="S30" s="23" t="s">
        <v>61</v>
      </c>
    </row>
    <row r="31" spans="2:28" s="21" customFormat="1" x14ac:dyDescent="0.25">
      <c r="B31" s="24">
        <v>1916</v>
      </c>
      <c r="C31" s="24">
        <v>5</v>
      </c>
      <c r="D31" s="24">
        <v>7</v>
      </c>
      <c r="E31" s="21">
        <v>15</v>
      </c>
      <c r="F31" s="21">
        <v>39</v>
      </c>
      <c r="G31" s="21">
        <v>20.00000000000113</v>
      </c>
      <c r="I31" s="24">
        <v>54</v>
      </c>
      <c r="J31" s="24">
        <v>38</v>
      </c>
      <c r="M31" s="24">
        <v>39</v>
      </c>
      <c r="N31" s="24">
        <v>34</v>
      </c>
      <c r="S31" s="21" t="s">
        <v>51</v>
      </c>
      <c r="Y31" s="28"/>
    </row>
    <row r="32" spans="2:28" ht="17.25" x14ac:dyDescent="0.25">
      <c r="B32" s="23">
        <v>1916</v>
      </c>
      <c r="C32" s="23">
        <v>5</v>
      </c>
      <c r="D32" s="23">
        <v>8</v>
      </c>
      <c r="E32">
        <v>15</v>
      </c>
      <c r="F32">
        <v>39</v>
      </c>
      <c r="G32">
        <v>20.00000000000113</v>
      </c>
      <c r="I32" s="23">
        <v>54</v>
      </c>
      <c r="J32" s="23">
        <v>19</v>
      </c>
      <c r="M32" s="23">
        <v>37</v>
      </c>
      <c r="N32" s="23">
        <v>2</v>
      </c>
      <c r="S32" s="23" t="s">
        <v>62</v>
      </c>
    </row>
  </sheetData>
  <mergeCells count="1">
    <mergeCell ref="AA1:A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Distance Calc</vt:lpstr>
      <vt:lpstr>Time Sights</vt:lpstr>
      <vt:lpstr>Dist to Go</vt:lpstr>
      <vt:lpstr>DR Calc</vt:lpstr>
      <vt:lpstr>Passage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Stuart</dc:creator>
  <cp:lastModifiedBy>Brad</cp:lastModifiedBy>
  <dcterms:created xsi:type="dcterms:W3CDTF">2017-01-04T16:33:02Z</dcterms:created>
  <dcterms:modified xsi:type="dcterms:W3CDTF">2017-01-29T20:47:11Z</dcterms:modified>
</cp:coreProperties>
</file>