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mes\Documents\CelNav\"/>
    </mc:Choice>
  </mc:AlternateContent>
  <xr:revisionPtr revIDLastSave="0" documentId="8_{0DC88DAD-F294-485F-9AF7-3000CCB1B80F}" xr6:coauthVersionLast="47" xr6:coauthVersionMax="47" xr10:uidLastSave="{00000000-0000-0000-0000-000000000000}"/>
  <bookViews>
    <workbookView xWindow="-120" yWindow="-120" windowWidth="20730" windowHeight="11160" firstSheet="1" activeTab="2" xr2:uid="{86D721B7-126E-42C8-8389-4F602C27AF00}"/>
  </bookViews>
  <sheets>
    <sheet name="Wks SunLine020522" sheetId="23" r:id="rId1"/>
    <sheet name="IC Record 040522" sheetId="21" r:id="rId2"/>
    <sheet name="ErrorSummary" sheetId="19" r:id="rId3"/>
    <sheet name="Rye Harbor 11 Apr 22  " sheetId="24" r:id="rId4"/>
    <sheet name="YMCA 26 Mar 22 " sheetId="22" r:id="rId5"/>
    <sheet name="YMCA 10 Mar 22" sheetId="18" r:id="rId6"/>
    <sheet name="YMCA 24 Nov 2020" sheetId="17" r:id="rId7"/>
    <sheet name="YMCA 21 Nov 2020  " sheetId="16" r:id="rId8"/>
    <sheet name="YMCA 9 Nov 2020 " sheetId="15" r:id="rId9"/>
    <sheet name="YMCA 22 Oct 2020 " sheetId="14" r:id="rId10"/>
    <sheet name="YMCA 8 Oct 2020" sheetId="13" r:id="rId11"/>
    <sheet name="YMCA 31 May 2020" sheetId="11" r:id="rId12"/>
    <sheet name="YMCA 14 May 2020" sheetId="10" r:id="rId13"/>
    <sheet name="YMCA 31 Mar 2020" sheetId="9" r:id="rId14"/>
    <sheet name="YMCA 8 Mar 2020" sheetId="7" r:id="rId15"/>
    <sheet name="YMCA 4 Mar 2020" sheetId="6" r:id="rId16"/>
    <sheet name="YMCA 1 Mar 2020 " sheetId="4" r:id="rId17"/>
    <sheet name="YMCA 31 Jan 2020" sheetId="3" r:id="rId18"/>
    <sheet name="YMCA 29Jan20" sheetId="2" r:id="rId19"/>
    <sheet name="Rye 17Jan20" sheetId="1" r:id="rId20"/>
    <sheet name="Old Summary" sheetId="5" r:id="rId2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9" l="1"/>
  <c r="E21" i="19"/>
  <c r="F21" i="19"/>
  <c r="G21" i="19"/>
  <c r="H21" i="19"/>
  <c r="I21" i="19"/>
  <c r="C21" i="19"/>
  <c r="G17" i="19"/>
  <c r="H17" i="19"/>
  <c r="I17" i="19" s="1"/>
  <c r="P25" i="24"/>
  <c r="J19" i="24"/>
  <c r="I19" i="24"/>
  <c r="J31" i="24"/>
  <c r="I31" i="24"/>
  <c r="O28" i="24"/>
  <c r="P26" i="24"/>
  <c r="R26" i="24" s="1"/>
  <c r="P28" i="24" s="1"/>
  <c r="Q26" i="24"/>
  <c r="M26" i="24"/>
  <c r="J20" i="24"/>
  <c r="J17" i="24"/>
  <c r="I17" i="24"/>
  <c r="J16" i="24"/>
  <c r="I16" i="24"/>
  <c r="J15" i="24"/>
  <c r="I15" i="24"/>
  <c r="J14" i="24"/>
  <c r="I14" i="24"/>
  <c r="J13" i="24"/>
  <c r="I13" i="24"/>
  <c r="J12" i="24"/>
  <c r="I12" i="24"/>
  <c r="C19" i="21"/>
  <c r="L18" i="23"/>
  <c r="H18" i="23"/>
  <c r="B13" i="23"/>
  <c r="E13" i="23" s="1"/>
  <c r="C13" i="23"/>
  <c r="D13" i="23"/>
  <c r="B14" i="23"/>
  <c r="C14" i="23"/>
  <c r="E14" i="23" s="1"/>
  <c r="D14" i="23"/>
  <c r="B15" i="23"/>
  <c r="E15" i="23" s="1"/>
  <c r="C15" i="23"/>
  <c r="D15" i="23"/>
  <c r="B16" i="23"/>
  <c r="E16" i="23" s="1"/>
  <c r="C16" i="23"/>
  <c r="D16" i="23"/>
  <c r="D12" i="23"/>
  <c r="E12" i="23" s="1"/>
  <c r="C12" i="23"/>
  <c r="B12" i="23"/>
  <c r="C18" i="21"/>
  <c r="H30" i="19"/>
  <c r="I30" i="19" s="1"/>
  <c r="G30" i="19"/>
  <c r="P25" i="22"/>
  <c r="P26" i="22"/>
  <c r="R26" i="22" s="1"/>
  <c r="Q26" i="22"/>
  <c r="M26" i="22"/>
  <c r="J20" i="22"/>
  <c r="J17" i="22"/>
  <c r="I17" i="22"/>
  <c r="J16" i="22"/>
  <c r="I16" i="22"/>
  <c r="J15" i="22"/>
  <c r="I15" i="22"/>
  <c r="J14" i="22"/>
  <c r="I14" i="22"/>
  <c r="J13" i="22"/>
  <c r="I13" i="22"/>
  <c r="J12" i="22"/>
  <c r="I12" i="22"/>
  <c r="I19" i="22" s="1"/>
  <c r="H29" i="19"/>
  <c r="I29" i="19" s="1"/>
  <c r="G29" i="19"/>
  <c r="H28" i="19"/>
  <c r="I28" i="19" s="1"/>
  <c r="G28" i="19"/>
  <c r="H6" i="19"/>
  <c r="I6" i="19" s="1"/>
  <c r="H7" i="19"/>
  <c r="I7" i="19" s="1"/>
  <c r="H8" i="19"/>
  <c r="I8" i="19" s="1"/>
  <c r="H9" i="19"/>
  <c r="I9" i="19" s="1"/>
  <c r="H10" i="19"/>
  <c r="I10" i="19" s="1"/>
  <c r="H11" i="19"/>
  <c r="I11" i="19" s="1"/>
  <c r="H12" i="19"/>
  <c r="I12" i="19" s="1"/>
  <c r="H13" i="19"/>
  <c r="I13" i="19" s="1"/>
  <c r="H14" i="19"/>
  <c r="I14" i="19" s="1"/>
  <c r="H15" i="19"/>
  <c r="I15" i="19" s="1"/>
  <c r="H16" i="19"/>
  <c r="I16" i="19" s="1"/>
  <c r="H5" i="19"/>
  <c r="I5" i="19" s="1"/>
  <c r="J21" i="24" l="1"/>
  <c r="I22" i="24"/>
  <c r="I23" i="24" s="1"/>
  <c r="I24" i="24" s="1"/>
  <c r="J22" i="24"/>
  <c r="J23" i="24"/>
  <c r="E18" i="23"/>
  <c r="J19" i="22"/>
  <c r="J21" i="22" s="1"/>
  <c r="I22" i="22"/>
  <c r="I23" i="22" s="1"/>
  <c r="I24" i="22" s="1"/>
  <c r="G27" i="19"/>
  <c r="G26" i="19"/>
  <c r="G25" i="19"/>
  <c r="G6" i="19"/>
  <c r="G7" i="19"/>
  <c r="G8" i="19"/>
  <c r="G9" i="19"/>
  <c r="G10" i="19"/>
  <c r="G11" i="19"/>
  <c r="G12" i="19"/>
  <c r="G13" i="19"/>
  <c r="G14" i="19"/>
  <c r="G15" i="19"/>
  <c r="G16" i="19"/>
  <c r="G5" i="19"/>
  <c r="P25" i="18"/>
  <c r="P26" i="18"/>
  <c r="Q26" i="18"/>
  <c r="M26" i="18"/>
  <c r="J20" i="18"/>
  <c r="J17" i="18"/>
  <c r="I17" i="18"/>
  <c r="J16" i="18"/>
  <c r="I16" i="18"/>
  <c r="J15" i="18"/>
  <c r="I15" i="18"/>
  <c r="J14" i="18"/>
  <c r="I14" i="18"/>
  <c r="J13" i="18"/>
  <c r="I13" i="18"/>
  <c r="J12" i="18"/>
  <c r="I12" i="18"/>
  <c r="P25" i="17"/>
  <c r="M26" i="17"/>
  <c r="Q26" i="17"/>
  <c r="P26" i="17"/>
  <c r="J20" i="17"/>
  <c r="J17" i="17"/>
  <c r="I17" i="17"/>
  <c r="J16" i="17"/>
  <c r="I16" i="17"/>
  <c r="J15" i="17"/>
  <c r="I15" i="17"/>
  <c r="J14" i="17"/>
  <c r="I14" i="17"/>
  <c r="J13" i="17"/>
  <c r="I13" i="17"/>
  <c r="J12" i="17"/>
  <c r="J19" i="17" s="1"/>
  <c r="I12" i="17"/>
  <c r="I19" i="17" s="1"/>
  <c r="J23" i="22" l="1"/>
  <c r="J22" i="22"/>
  <c r="I19" i="18"/>
  <c r="R26" i="18"/>
  <c r="J19" i="18"/>
  <c r="J21" i="18" s="1"/>
  <c r="J22" i="18" s="1"/>
  <c r="I22" i="18"/>
  <c r="R26" i="17"/>
  <c r="J21" i="17"/>
  <c r="I22" i="17"/>
  <c r="I23" i="17" s="1"/>
  <c r="I24" i="17" s="1"/>
  <c r="J22" i="17"/>
  <c r="J23" i="17"/>
  <c r="P25" i="16"/>
  <c r="P26" i="16" s="1"/>
  <c r="R26" i="16" s="1"/>
  <c r="M26" i="16"/>
  <c r="Q26" i="16"/>
  <c r="J20" i="16"/>
  <c r="J13" i="16"/>
  <c r="I13" i="16"/>
  <c r="J12" i="16"/>
  <c r="I12" i="16"/>
  <c r="I19" i="16" s="1"/>
  <c r="I23" i="18" l="1"/>
  <c r="I24" i="18" s="1"/>
  <c r="J23" i="18"/>
  <c r="J19" i="16"/>
  <c r="J21" i="16" s="1"/>
  <c r="I22" i="16"/>
  <c r="I23" i="16" s="1"/>
  <c r="I24" i="16" s="1"/>
  <c r="P28" i="15"/>
  <c r="O29" i="15" s="1"/>
  <c r="O30" i="15" s="1"/>
  <c r="O32" i="15" s="1"/>
  <c r="I13" i="15"/>
  <c r="J13" i="15"/>
  <c r="P31" i="15"/>
  <c r="I22" i="15"/>
  <c r="L29" i="15"/>
  <c r="M29" i="15" s="1"/>
  <c r="J22" i="15"/>
  <c r="J15" i="15"/>
  <c r="I15" i="15"/>
  <c r="J14" i="15"/>
  <c r="I14" i="15"/>
  <c r="J12" i="15"/>
  <c r="I12" i="15"/>
  <c r="J23" i="16" l="1"/>
  <c r="J22" i="16"/>
  <c r="P29" i="15"/>
  <c r="P30" i="15" s="1"/>
  <c r="P32" i="15" s="1"/>
  <c r="J20" i="14"/>
  <c r="R26" i="14"/>
  <c r="Q26" i="14"/>
  <c r="P25" i="14" l="1"/>
  <c r="P26" i="14"/>
  <c r="J17" i="14"/>
  <c r="I17" i="14"/>
  <c r="J16" i="14"/>
  <c r="I16" i="14"/>
  <c r="J15" i="14"/>
  <c r="I15" i="14"/>
  <c r="J14" i="14"/>
  <c r="I14" i="14"/>
  <c r="J13" i="14"/>
  <c r="I13" i="14"/>
  <c r="J12" i="14"/>
  <c r="I12" i="14"/>
  <c r="I19" i="14" s="1"/>
  <c r="J19" i="14" l="1"/>
  <c r="J21" i="14" s="1"/>
  <c r="J23" i="14" s="1"/>
  <c r="I22" i="14"/>
  <c r="I23" i="14" s="1"/>
  <c r="I24" i="14" s="1"/>
  <c r="P28" i="13"/>
  <c r="J22" i="13"/>
  <c r="I22" i="13"/>
  <c r="M29" i="13"/>
  <c r="L29" i="13"/>
  <c r="J19" i="13"/>
  <c r="J18" i="13"/>
  <c r="J17" i="13"/>
  <c r="I19" i="13"/>
  <c r="I18" i="13"/>
  <c r="I17" i="13"/>
  <c r="J20" i="13"/>
  <c r="I20" i="13"/>
  <c r="J16" i="13"/>
  <c r="I16" i="13"/>
  <c r="J15" i="13"/>
  <c r="I15" i="13"/>
  <c r="J14" i="13"/>
  <c r="I14" i="13"/>
  <c r="J13" i="13"/>
  <c r="I13" i="13"/>
  <c r="J12" i="13"/>
  <c r="I12" i="13"/>
  <c r="J22" i="14" l="1"/>
  <c r="O29" i="13"/>
  <c r="O30" i="13" s="1"/>
  <c r="J24" i="13"/>
  <c r="J26" i="13" s="1"/>
  <c r="I25" i="13"/>
  <c r="I26" i="13" s="1"/>
  <c r="I27" i="13" s="1"/>
  <c r="Q26" i="11"/>
  <c r="P25" i="11"/>
  <c r="P26" i="11" s="1"/>
  <c r="J19" i="11"/>
  <c r="I19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P29" i="13" l="1"/>
  <c r="P30" i="13" s="1"/>
  <c r="J25" i="13"/>
  <c r="J21" i="11"/>
  <c r="J23" i="11" s="1"/>
  <c r="I22" i="11"/>
  <c r="I23" i="11" s="1"/>
  <c r="I24" i="11" s="1"/>
  <c r="Q26" i="10"/>
  <c r="P25" i="10"/>
  <c r="P26" i="10" s="1"/>
  <c r="J17" i="10"/>
  <c r="I17" i="10"/>
  <c r="J16" i="10"/>
  <c r="I16" i="10"/>
  <c r="J15" i="10"/>
  <c r="I15" i="10"/>
  <c r="J14" i="10"/>
  <c r="I14" i="10"/>
  <c r="J13" i="10"/>
  <c r="I13" i="10"/>
  <c r="J12" i="10"/>
  <c r="I12" i="10"/>
  <c r="J22" i="11" l="1"/>
  <c r="J19" i="10"/>
  <c r="J21" i="10" s="1"/>
  <c r="J23" i="10" s="1"/>
  <c r="I19" i="10"/>
  <c r="I22" i="10" s="1"/>
  <c r="I23" i="10" s="1"/>
  <c r="I24" i="10" s="1"/>
  <c r="Q26" i="9"/>
  <c r="P26" i="9"/>
  <c r="M26" i="9"/>
  <c r="P25" i="9"/>
  <c r="I15" i="9"/>
  <c r="I16" i="9"/>
  <c r="J15" i="9"/>
  <c r="J17" i="9"/>
  <c r="I17" i="9"/>
  <c r="J16" i="9"/>
  <c r="J14" i="9"/>
  <c r="I14" i="9"/>
  <c r="J13" i="9"/>
  <c r="I13" i="9"/>
  <c r="J12" i="9"/>
  <c r="J19" i="9" s="1"/>
  <c r="J21" i="9" s="1"/>
  <c r="I12" i="9"/>
  <c r="J22" i="10" l="1"/>
  <c r="I19" i="9"/>
  <c r="I22" i="9" s="1"/>
  <c r="I23" i="9" s="1"/>
  <c r="I24" i="9" s="1"/>
  <c r="J22" i="9"/>
  <c r="J23" i="9"/>
  <c r="J29" i="7"/>
  <c r="I29" i="7"/>
  <c r="I14" i="7"/>
  <c r="J14" i="7"/>
  <c r="J16" i="7"/>
  <c r="I16" i="7"/>
  <c r="J15" i="7"/>
  <c r="I15" i="7"/>
  <c r="J13" i="7"/>
  <c r="I13" i="7"/>
  <c r="J12" i="7"/>
  <c r="J18" i="7" s="1"/>
  <c r="J20" i="7" s="1"/>
  <c r="I12" i="7"/>
  <c r="I18" i="7" l="1"/>
  <c r="I21" i="7" s="1"/>
  <c r="I22" i="7" s="1"/>
  <c r="I23" i="7" s="1"/>
  <c r="J21" i="7"/>
  <c r="J22" i="7"/>
  <c r="J16" i="6"/>
  <c r="I16" i="6"/>
  <c r="J15" i="6"/>
  <c r="I15" i="6"/>
  <c r="J14" i="6"/>
  <c r="I14" i="6"/>
  <c r="J13" i="6"/>
  <c r="I13" i="6"/>
  <c r="J12" i="6"/>
  <c r="I12" i="6"/>
  <c r="I18" i="6" s="1"/>
  <c r="S5" i="5"/>
  <c r="S6" i="5"/>
  <c r="S7" i="5"/>
  <c r="S8" i="5"/>
  <c r="S4" i="5"/>
  <c r="R6" i="5"/>
  <c r="R8" i="5"/>
  <c r="R7" i="5"/>
  <c r="R5" i="5"/>
  <c r="R4" i="5"/>
  <c r="H5" i="5"/>
  <c r="K5" i="5" s="1"/>
  <c r="N5" i="5" s="1"/>
  <c r="H6" i="5"/>
  <c r="K6" i="5" s="1"/>
  <c r="N6" i="5" s="1"/>
  <c r="H7" i="5"/>
  <c r="K7" i="5" s="1"/>
  <c r="N7" i="5" s="1"/>
  <c r="H8" i="5"/>
  <c r="K8" i="5" s="1"/>
  <c r="N8" i="5" s="1"/>
  <c r="H4" i="5"/>
  <c r="K4" i="5" s="1"/>
  <c r="N4" i="5" s="1"/>
  <c r="N31" i="4"/>
  <c r="Q31" i="4"/>
  <c r="J23" i="4"/>
  <c r="J20" i="4"/>
  <c r="J21" i="4" s="1"/>
  <c r="J22" i="4" s="1"/>
  <c r="J17" i="4"/>
  <c r="J19" i="4"/>
  <c r="J16" i="4"/>
  <c r="I17" i="4"/>
  <c r="I19" i="4"/>
  <c r="I16" i="4"/>
  <c r="J15" i="4"/>
  <c r="I15" i="4"/>
  <c r="J14" i="4"/>
  <c r="I14" i="4"/>
  <c r="J13" i="4"/>
  <c r="I13" i="4"/>
  <c r="J12" i="4"/>
  <c r="I12" i="4"/>
  <c r="J18" i="6" l="1"/>
  <c r="J20" i="6" s="1"/>
  <c r="J21" i="6" s="1"/>
  <c r="I21" i="6"/>
  <c r="I22" i="6" s="1"/>
  <c r="I23" i="6" s="1"/>
  <c r="I22" i="4"/>
  <c r="Q27" i="3"/>
  <c r="N27" i="3"/>
  <c r="I13" i="3"/>
  <c r="J13" i="3"/>
  <c r="I14" i="3"/>
  <c r="J14" i="3"/>
  <c r="I25" i="3"/>
  <c r="J25" i="3"/>
  <c r="I15" i="3"/>
  <c r="J15" i="3"/>
  <c r="J12" i="3"/>
  <c r="J17" i="3" s="1"/>
  <c r="J19" i="3" s="1"/>
  <c r="I12" i="3"/>
  <c r="I17" i="3" s="1"/>
  <c r="I19" i="3" s="1"/>
  <c r="I20" i="3" s="1"/>
  <c r="J22" i="6" l="1"/>
  <c r="I23" i="4"/>
  <c r="I24" i="4" s="1"/>
  <c r="J18" i="3"/>
  <c r="I18" i="3"/>
  <c r="H27" i="2"/>
  <c r="H27" i="1" l="1"/>
</calcChain>
</file>

<file path=xl/sharedStrings.xml><?xml version="1.0" encoding="utf-8"?>
<sst xmlns="http://schemas.openxmlformats.org/spreadsheetml/2006/main" count="541" uniqueCount="106">
  <si>
    <t>Rye Harbor, New Hampshire</t>
  </si>
  <si>
    <t>43.08083  N,   70.74000 W</t>
  </si>
  <si>
    <t>GMT 1500</t>
  </si>
  <si>
    <t>LD 88d +</t>
  </si>
  <si>
    <t>Seconds</t>
  </si>
  <si>
    <t>Minutes arc</t>
  </si>
  <si>
    <t>Mean</t>
  </si>
  <si>
    <t>Standard Error</t>
  </si>
  <si>
    <t>Median</t>
  </si>
  <si>
    <t>IC = -2.0'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</si>
  <si>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</si>
  <si>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</si>
  <si>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</si>
  <si>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</si>
  <si>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</si>
  <si>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</si>
  <si>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</si>
  <si>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</si>
  <si>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</si>
  <si>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</si>
  <si>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 xml:space="preserve">at 1500  or 600 seconds from :50,  </t>
  </si>
  <si>
    <t>Or:  LD at 15:00 = 88d 45.7</t>
  </si>
  <si>
    <t>LD 15d +</t>
  </si>
  <si>
    <t>YMCA Exeter, New Hampshire</t>
  </si>
  <si>
    <t>43.0000 N,   71.0000 W</t>
  </si>
  <si>
    <t>Or:  LD at 22:10GMT = 15d 38.3</t>
  </si>
  <si>
    <t xml:space="preserve">Observations: </t>
  </si>
  <si>
    <t>Time</t>
  </si>
  <si>
    <t>As Observed</t>
  </si>
  <si>
    <t>Decimalized</t>
  </si>
  <si>
    <t>Hr</t>
  </si>
  <si>
    <t>Min</t>
  </si>
  <si>
    <t>Sec</t>
  </si>
  <si>
    <t>Deg</t>
  </si>
  <si>
    <t>ArcMin</t>
  </si>
  <si>
    <t>Time - GMT</t>
  </si>
  <si>
    <t>LD Obs</t>
  </si>
  <si>
    <t>GMT</t>
  </si>
  <si>
    <t>Lunar</t>
  </si>
  <si>
    <t>Obs</t>
  </si>
  <si>
    <t>Average</t>
  </si>
  <si>
    <t>Date:</t>
  </si>
  <si>
    <t>Location:</t>
  </si>
  <si>
    <t>Shot</t>
  </si>
  <si>
    <t>Moon-Sun:</t>
  </si>
  <si>
    <t>YMCA Exeter</t>
  </si>
  <si>
    <t>X=</t>
  </si>
  <si>
    <t>Y=</t>
  </si>
  <si>
    <t>or</t>
  </si>
  <si>
    <t>Removed this from my sample - was an error</t>
  </si>
  <si>
    <t xml:space="preserve">YMCA Parking Lot       </t>
  </si>
  <si>
    <t>(with Bert)</t>
  </si>
  <si>
    <t>IC</t>
  </si>
  <si>
    <t>LD</t>
  </si>
  <si>
    <t>Gloucester</t>
  </si>
  <si>
    <t>Rye</t>
  </si>
  <si>
    <t>YMCA</t>
  </si>
  <si>
    <t>GMT H</t>
  </si>
  <si>
    <t>GMT M</t>
  </si>
  <si>
    <t>GMT Sec</t>
  </si>
  <si>
    <t>GMT Dec</t>
  </si>
  <si>
    <t xml:space="preserve">Deg </t>
  </si>
  <si>
    <t>Moon</t>
  </si>
  <si>
    <t>LD Moon to Body</t>
  </si>
  <si>
    <t>Body</t>
  </si>
  <si>
    <t>Sun</t>
  </si>
  <si>
    <t>Venus</t>
  </si>
  <si>
    <t>Delta Min</t>
  </si>
  <si>
    <t>SD</t>
  </si>
  <si>
    <t>ArcMin/Hr</t>
  </si>
  <si>
    <t>ArcMin/Min</t>
  </si>
  <si>
    <t>Moon-Venus:</t>
  </si>
  <si>
    <t xml:space="preserve">Temp:     </t>
  </si>
  <si>
    <t>Pressure</t>
  </si>
  <si>
    <t>IC:</t>
  </si>
  <si>
    <t>42 58.3N  70 57.4W</t>
  </si>
  <si>
    <t xml:space="preserve">Removed: </t>
  </si>
  <si>
    <t>Unadj LD</t>
  </si>
  <si>
    <t xml:space="preserve">LD </t>
  </si>
  <si>
    <t>Moon-Jupiter:</t>
  </si>
  <si>
    <t>Error in</t>
  </si>
  <si>
    <t>Longitude</t>
  </si>
  <si>
    <t>Minutes</t>
  </si>
  <si>
    <t>Miles</t>
  </si>
  <si>
    <t>Calculated</t>
  </si>
  <si>
    <t>IE</t>
  </si>
  <si>
    <t>Index</t>
  </si>
  <si>
    <t>Date</t>
  </si>
  <si>
    <t>Arc</t>
  </si>
  <si>
    <t>Time error</t>
  </si>
  <si>
    <t>seconds</t>
  </si>
  <si>
    <t>minutes</t>
  </si>
  <si>
    <t>Rolled-off Observations (earlier than latest 10 charted)</t>
  </si>
  <si>
    <t>Per today's determination, trend is -2..7</t>
  </si>
  <si>
    <t xml:space="preserve">Something Went Wrong with </t>
  </si>
  <si>
    <t>This - Error in  Lunar 3.8'</t>
  </si>
  <si>
    <t>I cannot find error</t>
  </si>
  <si>
    <t>Save but exclude from summary</t>
  </si>
  <si>
    <t>Excluded observations</t>
  </si>
  <si>
    <t xml:space="preserve">Hs @ GMT 15: 28:54  =        </t>
  </si>
  <si>
    <t>49 22.6</t>
  </si>
  <si>
    <t>Rye Harbor</t>
  </si>
  <si>
    <t>For Future Reference: Use the calculated</t>
  </si>
  <si>
    <t xml:space="preserve">averages and not the displayed formula.  The </t>
  </si>
  <si>
    <t>plotted line is in agreement with the calculated averages</t>
  </si>
  <si>
    <t xml:space="preserve">but not in agreement with the calculation formula shown.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</si>
</sst>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000"/>
    <numFmt numFmtId="165" formatCode="_(* #,##0.0_);_(* \(#,##0.0\);_(* &quot;-&quot;??_);_(@_)"/>
    <numFmt numFmtId="166" formatCode="_(* #,##0_);_(* \(#,##0\);_(* &quot;-&quot;??_);_(@_)"/>
    <numFmt numFmtId="167" formatCode="_(* #,##0.00000_);_(* \(#,##0.00000\);_(* &quot;-&quot;??_);_(@_)"/>
    <numFmt numFmtId="168" formatCode="0.0"/>
    <numFmt numFmtId="169" formatCode="[$-409]d\-mmm\-yy;@"/>
    <numFmt numFmtId="170" formatCode="0.0000"/>
    <numFmt numFmtId="171" formatCode="0.000"/>
    <numFmt numFmtId="172" formatCode="m/d/yyyy;@"/>
    <numFmt numFmtId="173" formatCode="#,##0.0_);[Red]\(#,##0.0\)"/>
    <numFmt numFmtId="174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167" fontId="0" fillId="0" borderId="0" xfId="1" applyNumberFormat="1" applyFont="1"/>
    <xf numFmtId="167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/>
    <xf numFmtId="0" fontId="0" fillId="0" borderId="0" xfId="0" applyAlignment="1">
      <alignment horizontal="center"/>
    </xf>
    <xf numFmtId="169" fontId="0" fillId="0" borderId="0" xfId="0" applyNumberFormat="1"/>
    <xf numFmtId="170" fontId="0" fillId="0" borderId="0" xfId="0" applyNumberFormat="1"/>
    <xf numFmtId="43" fontId="0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9" xfId="0" applyBorder="1"/>
    <xf numFmtId="165" fontId="0" fillId="0" borderId="4" xfId="1" applyNumberFormat="1" applyFont="1" applyBorder="1"/>
    <xf numFmtId="165" fontId="0" fillId="0" borderId="5" xfId="1" applyNumberFormat="1" applyFont="1" applyBorder="1"/>
    <xf numFmtId="0" fontId="0" fillId="0" borderId="12" xfId="0" applyBorder="1"/>
    <xf numFmtId="167" fontId="0" fillId="0" borderId="8" xfId="1" applyNumberFormat="1" applyFont="1" applyBorder="1"/>
    <xf numFmtId="167" fontId="0" fillId="0" borderId="8" xfId="0" applyNumberFormat="1" applyBorder="1"/>
    <xf numFmtId="166" fontId="0" fillId="0" borderId="7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167" fontId="0" fillId="0" borderId="3" xfId="0" applyNumberFormat="1" applyBorder="1"/>
    <xf numFmtId="166" fontId="4" fillId="0" borderId="8" xfId="0" applyNumberFormat="1" applyFont="1" applyBorder="1"/>
    <xf numFmtId="165" fontId="4" fillId="0" borderId="7" xfId="0" applyNumberFormat="1" applyFont="1" applyBorder="1"/>
    <xf numFmtId="165" fontId="4" fillId="0" borderId="8" xfId="0" applyNumberFormat="1" applyFont="1" applyBorder="1"/>
    <xf numFmtId="0" fontId="0" fillId="0" borderId="12" xfId="0" applyBorder="1" applyAlignment="1">
      <alignment horizontal="center"/>
    </xf>
    <xf numFmtId="164" fontId="0" fillId="0" borderId="3" xfId="0" applyNumberFormat="1" applyBorder="1"/>
    <xf numFmtId="0" fontId="4" fillId="0" borderId="7" xfId="0" applyFont="1" applyBorder="1"/>
    <xf numFmtId="0" fontId="0" fillId="0" borderId="0" xfId="0" applyAlignment="1">
      <alignment horizontal="center"/>
    </xf>
    <xf numFmtId="168" fontId="4" fillId="0" borderId="3" xfId="0" applyNumberFormat="1" applyFont="1" applyBorder="1"/>
    <xf numFmtId="171" fontId="4" fillId="0" borderId="7" xfId="0" applyNumberFormat="1" applyFont="1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164" fontId="4" fillId="0" borderId="7" xfId="0" applyNumberFormat="1" applyFont="1" applyBorder="1"/>
    <xf numFmtId="168" fontId="4" fillId="0" borderId="7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2" fontId="0" fillId="0" borderId="0" xfId="0" applyNumberFormat="1"/>
    <xf numFmtId="14" fontId="0" fillId="0" borderId="0" xfId="0" applyNumberFormat="1"/>
    <xf numFmtId="173" fontId="0" fillId="0" borderId="0" xfId="0" applyNumberFormat="1"/>
    <xf numFmtId="173" fontId="0" fillId="0" borderId="0" xfId="1" applyNumberFormat="1" applyFont="1"/>
    <xf numFmtId="174" fontId="0" fillId="0" borderId="0" xfId="1" applyNumberFormat="1" applyFont="1"/>
    <xf numFmtId="174" fontId="0" fillId="0" borderId="0" xfId="1" applyNumberFormat="1" applyFont="1" applyAlignment="1">
      <alignment horizontal="center"/>
    </xf>
    <xf numFmtId="174" fontId="0" fillId="0" borderId="0" xfId="0" applyNumberFormat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0" xfId="0" applyFont="1"/>
    <xf numFmtId="0" fontId="0" fillId="0" borderId="0" xfId="0" quotePrefix="1"/>
    <xf numFmtId="168" fontId="0" fillId="0" borderId="11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IE</a:t>
            </a:r>
          </a:p>
          <a:p>
            <a:pPr>
              <a:defRPr/>
            </a:pPr>
            <a:r>
              <a:rPr lang="en-US"/>
              <a:t>Latest</a:t>
            </a:r>
            <a:r>
              <a:rPr lang="en-US" baseline="0"/>
              <a:t> 10 calcs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'IC Record 040522'!$C$6</c:f>
              <c:strCache>
                <c:ptCount val="1"/>
                <c:pt idx="0">
                  <c:v>IE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267629046369204"/>
                  <c:y val="-0.468783992207159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'IC Record 040522'!$A$7:$A$15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xVal>
          <c:yVal>
            <c:numRef>
              <c:f>'IC Record 040522'!$C$7:$C$15</c:f>
              <c:numCache>
                <c:formatCode>#,##0.0</c:formatCode>
                <c:ptCount val="9"/>
                <c:pt idx="0">
                  <c:v>2.7</c:v>
                </c:pt>
                <c:pt idx="1">
                  <c:v>2.9</c:v>
                </c:pt>
                <c:pt idx="2">
                  <c:v>2.6</c:v>
                </c:pt>
                <c:pt idx="3">
                  <c:v>2.8</c:v>
                </c:pt>
                <c:pt idx="4">
                  <c:v>2.6</c:v>
                </c:pt>
                <c:pt idx="5">
                  <c:v>2.5</c:v>
                </c:pt>
                <c:pt idx="6">
                  <c:v>2.8</c:v>
                </c:pt>
                <c:pt idx="7">
                  <c:v>2.7</c:v>
                </c:pt>
                <c:pt idx="8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AE-4E8B-BF2C-2E1C727F9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642216"/>
        <c:axId val="609643200"/>
      </c:scatterChart>
      <c:valAx>
        <c:axId val="609642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43200"/>
        <c:crosses val="autoZero"/>
        <c:crossBetween val="midCat"/>
      </c:valAx>
      <c:valAx>
        <c:axId val="609643200"/>
        <c:scaling>
          <c:orientation val="minMax"/>
          <c:max val="3.5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642216"/>
        <c:crosses val="autoZero"/>
        <c:crossBetween val="midCat"/>
        <c:majorUnit val="0.5"/>
        <c:min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94521838616"/>
          <c:y val="3.7476794388964244E-2"/>
          <c:w val="0.8088439666195571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512837337640487"/>
                  <c:y val="-0.273639818422730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8 Oct 2020'!$I$12:$I$19</c:f>
              <c:numCache>
                <c:formatCode>_(* #,##0.00000_);_(* \(#,##0.00000\);_(* "-"??_);_(@_)</c:formatCode>
                <c:ptCount val="8"/>
                <c:pt idx="0">
                  <c:v>15.319722222222222</c:v>
                </c:pt>
                <c:pt idx="1">
                  <c:v>15.353333333333333</c:v>
                </c:pt>
                <c:pt idx="2">
                  <c:v>15.371388888888889</c:v>
                </c:pt>
                <c:pt idx="3">
                  <c:v>15.385</c:v>
                </c:pt>
                <c:pt idx="4">
                  <c:v>15.401666666666667</c:v>
                </c:pt>
                <c:pt idx="5">
                  <c:v>15.416666666666666</c:v>
                </c:pt>
                <c:pt idx="6">
                  <c:v>15.445555555555556</c:v>
                </c:pt>
                <c:pt idx="7">
                  <c:v>15.465833333333332</c:v>
                </c:pt>
              </c:numCache>
            </c:numRef>
          </c:xVal>
          <c:yVal>
            <c:numRef>
              <c:f>'YMCA 8 Oct 2020'!$J$12:$J$19</c:f>
              <c:numCache>
                <c:formatCode>_(* #,##0.00000_);_(* \(#,##0.00000\);_(* "-"??_);_(@_)</c:formatCode>
                <c:ptCount val="8"/>
                <c:pt idx="0">
                  <c:v>106.21333333333334</c:v>
                </c:pt>
                <c:pt idx="1">
                  <c:v>106.17333333333333</c:v>
                </c:pt>
                <c:pt idx="2">
                  <c:v>106.18</c:v>
                </c:pt>
                <c:pt idx="3">
                  <c:v>106.155</c:v>
                </c:pt>
                <c:pt idx="4">
                  <c:v>106.15833333333333</c:v>
                </c:pt>
                <c:pt idx="5">
                  <c:v>106.14666666666666</c:v>
                </c:pt>
                <c:pt idx="6">
                  <c:v>106.13333333333334</c:v>
                </c:pt>
                <c:pt idx="7">
                  <c:v>106.13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0E-4555-82AE-9B7B84AE5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ax val="15.5"/>
          <c:min val="15.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  <c:max val="106.3"/>
          <c:min val="10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94521838616"/>
          <c:y val="2.5831951407564533E-2"/>
          <c:w val="0.786566121542499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512837337640487"/>
                  <c:y val="-0.273639818422730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31 May 2020'!$I$12:$I$16</c:f>
              <c:numCache>
                <c:formatCode>_(* #,##0.00000_);_(* \(#,##0.00000\);_(* "-"??_);_(@_)</c:formatCode>
                <c:ptCount val="5"/>
                <c:pt idx="0">
                  <c:v>21.336111111111109</c:v>
                </c:pt>
                <c:pt idx="1">
                  <c:v>21.40722222222222</c:v>
                </c:pt>
                <c:pt idx="2">
                  <c:v>21.445833333333333</c:v>
                </c:pt>
                <c:pt idx="3">
                  <c:v>21.576666666666668</c:v>
                </c:pt>
                <c:pt idx="4">
                  <c:v>21.638333333333332</c:v>
                </c:pt>
              </c:numCache>
            </c:numRef>
          </c:xVal>
          <c:yVal>
            <c:numRef>
              <c:f>'YMCA 31 May 2020'!$J$12:$J$16</c:f>
              <c:numCache>
                <c:formatCode>_(* #,##0.00000_);_(* \(#,##0.00000\);_(* "-"??_);_(@_)</c:formatCode>
                <c:ptCount val="5"/>
                <c:pt idx="0">
                  <c:v>113.27500000000001</c:v>
                </c:pt>
                <c:pt idx="1">
                  <c:v>113.35333333333334</c:v>
                </c:pt>
                <c:pt idx="2">
                  <c:v>113.32666666666667</c:v>
                </c:pt>
                <c:pt idx="3">
                  <c:v>113.39333333333333</c:v>
                </c:pt>
                <c:pt idx="4">
                  <c:v>113.45333333333333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EC-4718-9805-07EDBC0AC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in val="21.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  <c:max val="113.5"/>
          <c:min val="113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94521838616"/>
          <c:y val="2.5831951407564533E-2"/>
          <c:w val="0.786566121542499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512837337640487"/>
                  <c:y val="-0.273639818422730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14 May 2020'!$I$12:$I$17</c:f>
              <c:numCache>
                <c:formatCode>_(* #,##0.00000_);_(* \(#,##0.00000\);_(* "-"??_);_(@_)</c:formatCode>
                <c:ptCount val="6"/>
                <c:pt idx="0">
                  <c:v>12.488333333333333</c:v>
                </c:pt>
                <c:pt idx="1">
                  <c:v>12.511666666666667</c:v>
                </c:pt>
                <c:pt idx="2">
                  <c:v>12.532222222222224</c:v>
                </c:pt>
                <c:pt idx="3">
                  <c:v>12.558888888888889</c:v>
                </c:pt>
                <c:pt idx="4">
                  <c:v>12.5875</c:v>
                </c:pt>
                <c:pt idx="5">
                  <c:v>12.613888888888889</c:v>
                </c:pt>
              </c:numCache>
            </c:numRef>
          </c:xVal>
          <c:yVal>
            <c:numRef>
              <c:f>'YMCA 14 May 2020'!$J$12:$J$17</c:f>
              <c:numCache>
                <c:formatCode>_(* #,##0.00000_);_(* \(#,##0.00000\);_(* "-"??_);_(@_)</c:formatCode>
                <c:ptCount val="6"/>
                <c:pt idx="0">
                  <c:v>90.736666666666665</c:v>
                </c:pt>
                <c:pt idx="1">
                  <c:v>90.733333333333334</c:v>
                </c:pt>
                <c:pt idx="2">
                  <c:v>90.726666666666674</c:v>
                </c:pt>
                <c:pt idx="3">
                  <c:v>90.704999999999998</c:v>
                </c:pt>
                <c:pt idx="4">
                  <c:v>90.685000000000002</c:v>
                </c:pt>
                <c:pt idx="5">
                  <c:v>90.676666666666662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BD-4140-A9A8-27F123A3B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</c:scaling>
        <c:delete val="0"/>
        <c:axPos val="b"/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94521838616"/>
          <c:y val="2.5831951407564533E-2"/>
          <c:w val="0.786566121542499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2863247863247863"/>
                  <c:y val="0.1041128925341938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31 Mar 2020'!$I$12:$I$17</c:f>
              <c:numCache>
                <c:formatCode>_(* #,##0.00000_);_(* \(#,##0.00000\);_(* "-"??_);_(@_)</c:formatCode>
                <c:ptCount val="6"/>
                <c:pt idx="0">
                  <c:v>18.766666666666666</c:v>
                </c:pt>
                <c:pt idx="1">
                  <c:v>18.783333333333335</c:v>
                </c:pt>
                <c:pt idx="2">
                  <c:v>18.8</c:v>
                </c:pt>
                <c:pt idx="3">
                  <c:v>18.816666666666666</c:v>
                </c:pt>
                <c:pt idx="4">
                  <c:v>18.850000000000001</c:v>
                </c:pt>
                <c:pt idx="5">
                  <c:v>18.866666666666667</c:v>
                </c:pt>
              </c:numCache>
            </c:numRef>
          </c:xVal>
          <c:yVal>
            <c:numRef>
              <c:f>'YMCA 31 Mar 2020'!$J$12:$J$17</c:f>
              <c:numCache>
                <c:formatCode>_(* #,##0.00000_);_(* \(#,##0.00000\);_(* "-"??_);_(@_)</c:formatCode>
                <c:ptCount val="6"/>
                <c:pt idx="0">
                  <c:v>82.333333333333329</c:v>
                </c:pt>
                <c:pt idx="1">
                  <c:v>82.326666666666668</c:v>
                </c:pt>
                <c:pt idx="2">
                  <c:v>82.333333333333329</c:v>
                </c:pt>
                <c:pt idx="3">
                  <c:v>82.341666666666669</c:v>
                </c:pt>
                <c:pt idx="4">
                  <c:v>82.35</c:v>
                </c:pt>
                <c:pt idx="5">
                  <c:v>82.358333333333334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31-4592-88D2-19295C9C9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</c:scaling>
        <c:delete val="0"/>
        <c:axPos val="b"/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86977589339794"/>
          <c:y val="5.2096045417906682E-2"/>
          <c:w val="0.786566121542499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627417726630326"/>
                  <c:y val="0.103862644879307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8 Mar 2020'!$I$12:$I$16</c:f>
              <c:numCache>
                <c:formatCode>_(* #,##0.00000_);_(* \(#,##0.00000\);_(* "-"??_);_(@_)</c:formatCode>
                <c:ptCount val="5"/>
                <c:pt idx="0">
                  <c:v>23.385833333333334</c:v>
                </c:pt>
                <c:pt idx="1">
                  <c:v>23.426388888888891</c:v>
                </c:pt>
                <c:pt idx="2">
                  <c:v>23.466111111111111</c:v>
                </c:pt>
                <c:pt idx="3">
                  <c:v>23.52611111111111</c:v>
                </c:pt>
                <c:pt idx="4">
                  <c:v>23.563611111111111</c:v>
                </c:pt>
              </c:numCache>
            </c:numRef>
          </c:xVal>
          <c:yVal>
            <c:numRef>
              <c:f>'YMCA 8 Mar 2020'!$J$12:$J$16</c:f>
              <c:numCache>
                <c:formatCode>_(* #,##0.00000_);_(* \(#,##0.00000\);_(* "-"??_);_(@_)</c:formatCode>
                <c:ptCount val="5"/>
                <c:pt idx="0">
                  <c:v>124.05500000000001</c:v>
                </c:pt>
                <c:pt idx="1">
                  <c:v>124.09833333333333</c:v>
                </c:pt>
                <c:pt idx="2">
                  <c:v>124.12333333333333</c:v>
                </c:pt>
                <c:pt idx="3">
                  <c:v>124.16166666666666</c:v>
                </c:pt>
                <c:pt idx="4">
                  <c:v>124.19499999999999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01-4690-862F-2BE3A6A5C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in val="23.3"/>
        </c:scaling>
        <c:delete val="0"/>
        <c:axPos val="b"/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86977589339794"/>
          <c:y val="5.2096045417906682E-2"/>
          <c:w val="0.786566121542499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627417726630326"/>
                  <c:y val="0.103862644879307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4 Mar 2020'!$I$12:$I$16</c:f>
              <c:numCache>
                <c:formatCode>_(* #,##0.00000_);_(* \(#,##0.00000\);_(* "-"??_);_(@_)</c:formatCode>
                <c:ptCount val="5"/>
                <c:pt idx="0">
                  <c:v>22.635833333333334</c:v>
                </c:pt>
                <c:pt idx="1">
                  <c:v>22.668055555555558</c:v>
                </c:pt>
                <c:pt idx="2">
                  <c:v>22.747222222222224</c:v>
                </c:pt>
                <c:pt idx="3">
                  <c:v>22.786111111111111</c:v>
                </c:pt>
                <c:pt idx="4">
                  <c:v>22.819722222222222</c:v>
                </c:pt>
              </c:numCache>
            </c:numRef>
          </c:xVal>
          <c:yVal>
            <c:numRef>
              <c:f>'YMCA 4 Mar 2020'!$J$12:$J$16</c:f>
              <c:numCache>
                <c:formatCode>_(* #,##0.00000_);_(* \(#,##0.00000\);_(* "-"??_);_(@_)</c:formatCode>
                <c:ptCount val="5"/>
                <c:pt idx="0">
                  <c:v>70.36666666666666</c:v>
                </c:pt>
                <c:pt idx="1">
                  <c:v>70.38666666666667</c:v>
                </c:pt>
                <c:pt idx="2">
                  <c:v>70.401666666666671</c:v>
                </c:pt>
                <c:pt idx="3">
                  <c:v>70.416666666666671</c:v>
                </c:pt>
                <c:pt idx="4">
                  <c:v>70.416666666666671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59-4F01-B611-4B9AACB5A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ax val="22.9"/>
          <c:min val="22.5"/>
        </c:scaling>
        <c:delete val="0"/>
        <c:axPos val="b"/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9627417726630326"/>
                  <c:y val="0.103862644879307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1 Mar 2020 '!$I$12:$I$17</c:f>
              <c:numCache>
                <c:formatCode>_(* #,##0.00000_);_(* \(#,##0.00000\);_(* "-"??_);_(@_)</c:formatCode>
                <c:ptCount val="6"/>
                <c:pt idx="0">
                  <c:v>18.11888888888889</c:v>
                </c:pt>
                <c:pt idx="1">
                  <c:v>18.159444444444443</c:v>
                </c:pt>
                <c:pt idx="2">
                  <c:v>18.258611111111112</c:v>
                </c:pt>
                <c:pt idx="3">
                  <c:v>18.283055555555556</c:v>
                </c:pt>
                <c:pt idx="4">
                  <c:v>18.328333333333333</c:v>
                </c:pt>
                <c:pt idx="5">
                  <c:v>18.370555555555555</c:v>
                </c:pt>
              </c:numCache>
            </c:numRef>
          </c:xVal>
          <c:yVal>
            <c:numRef>
              <c:f>'YMCA 1 Mar 2020 '!$J$12:$J$17</c:f>
              <c:numCache>
                <c:formatCode>_(* #,##0.00000_);_(* \(#,##0.00000\);_(* "-"??_);_(@_)</c:formatCode>
                <c:ptCount val="6"/>
                <c:pt idx="0">
                  <c:v>77.733333333333334</c:v>
                </c:pt>
                <c:pt idx="1">
                  <c:v>77.748333333333335</c:v>
                </c:pt>
                <c:pt idx="2">
                  <c:v>77.783333333333331</c:v>
                </c:pt>
                <c:pt idx="3">
                  <c:v>77.786666666666662</c:v>
                </c:pt>
                <c:pt idx="4">
                  <c:v>77.806666666666672</c:v>
                </c:pt>
                <c:pt idx="5">
                  <c:v>77.813333333333333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6C-4CD3-9126-FC84E6C82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ax val="18.399999999999999"/>
          <c:min val="18.10000000000000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'YMCA 31 Jan 2020'!$J$11</c:f>
              <c:strCache>
                <c:ptCount val="1"/>
                <c:pt idx="0">
                  <c:v>Obs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31 Jan 2020'!$I$12:$I$15</c:f>
              <c:numCache>
                <c:formatCode>_(* #,##0.00000_);_(* \(#,##0.00000\);_(* "-"??_);_(@_)</c:formatCode>
                <c:ptCount val="4"/>
                <c:pt idx="0">
                  <c:v>17.276388888888889</c:v>
                </c:pt>
                <c:pt idx="1">
                  <c:v>17.486388888888889</c:v>
                </c:pt>
                <c:pt idx="2">
                  <c:v>17.658333333333331</c:v>
                </c:pt>
                <c:pt idx="3">
                  <c:v>17.736666666666668</c:v>
                </c:pt>
              </c:numCache>
            </c:numRef>
          </c:xVal>
          <c:yVal>
            <c:numRef>
              <c:f>'YMCA 31 Jan 2020'!$J$12:$J$15</c:f>
              <c:numCache>
                <c:formatCode>_(* #,##0.00000_);_(* \(#,##0.00000\);_(* "-"??_);_(@_)</c:formatCode>
                <c:ptCount val="4"/>
                <c:pt idx="0">
                  <c:v>75.064999999999998</c:v>
                </c:pt>
                <c:pt idx="1">
                  <c:v>75.148333333333326</c:v>
                </c:pt>
                <c:pt idx="2">
                  <c:v>75.213333333333338</c:v>
                </c:pt>
                <c:pt idx="3">
                  <c:v>75.25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96-44CD-9F2C-9B1C15F62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Lunar Distances Observed</a:t>
            </a:r>
          </a:p>
          <a:p>
            <a:pPr>
              <a:defRPr/>
            </a:pPr>
            <a:r>
              <a:rPr lang="en-US" sz="1200"/>
              <a:t>Moon-Venus</a:t>
            </a:r>
          </a:p>
          <a:p>
            <a:pPr>
              <a:defRPr/>
            </a:pPr>
            <a:r>
              <a:rPr lang="en-US" sz="1200"/>
              <a:t>29 January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338091884855859E-2"/>
          <c:y val="0.11776055124892335"/>
          <c:w val="0.92034483494441244"/>
          <c:h val="0.7334082076949683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3.5725412372233957E-2"/>
                  <c:y val="0.248233738224582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29Jan20'!$A$7:$A$11</c:f>
              <c:numCache>
                <c:formatCode>General</c:formatCode>
                <c:ptCount val="5"/>
                <c:pt idx="0">
                  <c:v>180</c:v>
                </c:pt>
                <c:pt idx="1">
                  <c:v>306</c:v>
                </c:pt>
                <c:pt idx="2">
                  <c:v>474</c:v>
                </c:pt>
                <c:pt idx="3">
                  <c:v>702</c:v>
                </c:pt>
                <c:pt idx="4">
                  <c:v>974</c:v>
                </c:pt>
              </c:numCache>
            </c:numRef>
          </c:xVal>
          <c:yVal>
            <c:numRef>
              <c:f>'YMCA 29Jan20'!$B$7:$B$11</c:f>
              <c:numCache>
                <c:formatCode>General</c:formatCode>
                <c:ptCount val="5"/>
                <c:pt idx="0">
                  <c:v>36.200000000000003</c:v>
                </c:pt>
                <c:pt idx="1">
                  <c:v>36.5</c:v>
                </c:pt>
                <c:pt idx="2">
                  <c:v>37.799999999999997</c:v>
                </c:pt>
                <c:pt idx="3">
                  <c:v>38.799999999999997</c:v>
                </c:pt>
                <c:pt idx="4">
                  <c:v>40.5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4E-4730-BEA8-7886DBD29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145248"/>
        <c:axId val="627153120"/>
      </c:scatterChart>
      <c:valAx>
        <c:axId val="62714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53120"/>
        <c:crosses val="autoZero"/>
        <c:crossBetween val="midCat"/>
      </c:valAx>
      <c:valAx>
        <c:axId val="627153120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45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-3" verticalDpi="-3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Lunar Distances Observed</a:t>
            </a:r>
          </a:p>
          <a:p>
            <a:pPr>
              <a:defRPr/>
            </a:pPr>
            <a:r>
              <a:rPr lang="en-US"/>
              <a:t>17 January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338091884855859E-2"/>
          <c:y val="0.11776055124892335"/>
          <c:w val="0.92034483494441244"/>
          <c:h val="0.73340820769496839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1296189602315974E-2"/>
                  <c:y val="-0.4301928150454061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'Rye 17Jan20'!$A$7:$A$11</c:f>
              <c:numCache>
                <c:formatCode>General</c:formatCode>
                <c:ptCount val="5"/>
                <c:pt idx="0">
                  <c:v>14</c:v>
                </c:pt>
                <c:pt idx="1">
                  <c:v>291</c:v>
                </c:pt>
                <c:pt idx="2">
                  <c:v>459</c:v>
                </c:pt>
                <c:pt idx="3">
                  <c:v>787</c:v>
                </c:pt>
                <c:pt idx="4">
                  <c:v>1134</c:v>
                </c:pt>
              </c:numCache>
            </c:numRef>
          </c:xVal>
          <c:yVal>
            <c:numRef>
              <c:f>'Rye 17Jan20'!$B$7:$B$11</c:f>
              <c:numCache>
                <c:formatCode>General</c:formatCode>
                <c:ptCount val="5"/>
                <c:pt idx="0">
                  <c:v>52.9</c:v>
                </c:pt>
                <c:pt idx="1">
                  <c:v>49.7</c:v>
                </c:pt>
                <c:pt idx="2">
                  <c:v>45.1</c:v>
                </c:pt>
                <c:pt idx="3">
                  <c:v>44.2</c:v>
                </c:pt>
                <c:pt idx="4">
                  <c:v>39.799999999999997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5F-4B81-B6D4-3D7FCD380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7145248"/>
        <c:axId val="627153120"/>
      </c:scatterChart>
      <c:valAx>
        <c:axId val="627145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53120"/>
        <c:crosses val="autoZero"/>
        <c:crossBetween val="midCat"/>
      </c:valAx>
      <c:valAx>
        <c:axId val="627153120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145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-3" vertic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Lunars Errors Trends</a:t>
            </a:r>
          </a:p>
          <a:p>
            <a:pPr>
              <a:defRPr/>
            </a:pPr>
            <a:r>
              <a:rPr lang="en-US" sz="1100"/>
              <a:t>Minutes Error in Longitude</a:t>
            </a:r>
          </a:p>
          <a:p>
            <a:pPr>
              <a:defRPr/>
            </a:pPr>
            <a:r>
              <a:rPr lang="en-US" sz="800"/>
              <a:t>Most</a:t>
            </a:r>
            <a:r>
              <a:rPr lang="en-US" sz="800" baseline="0"/>
              <a:t> Recent Ten</a:t>
            </a:r>
            <a:endParaRPr lang="en-US" sz="800"/>
          </a:p>
        </c:rich>
      </c:tx>
      <c:layout>
        <c:manualLayout>
          <c:xMode val="edge"/>
          <c:yMode val="edge"/>
          <c:x val="0.29042928955914404"/>
          <c:y val="3.1912098815910991E-2"/>
        </c:manualLayout>
      </c:layout>
      <c:overlay val="0"/>
      <c:spPr>
        <a:noFill/>
        <a:ln>
          <a:solidFill>
            <a:schemeClr val="accent1">
              <a:alpha val="96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2.1246382663705496E-3"/>
                  <c:y val="-0.3161074583641647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ErrorSummary!$D$8:$D$17</c:f>
              <c:numCache>
                <c:formatCode>_(* #,##0.0_);_(* \(#,##0.0\);_(* "-"??_);_(@_)</c:formatCode>
                <c:ptCount val="10"/>
                <c:pt idx="0">
                  <c:v>-3</c:v>
                </c:pt>
                <c:pt idx="1">
                  <c:v>3.6</c:v>
                </c:pt>
                <c:pt idx="2">
                  <c:v>9.1999999999999993</c:v>
                </c:pt>
                <c:pt idx="3">
                  <c:v>23.2</c:v>
                </c:pt>
                <c:pt idx="4">
                  <c:v>20.399999999999999</c:v>
                </c:pt>
                <c:pt idx="5">
                  <c:v>10.6</c:v>
                </c:pt>
                <c:pt idx="6">
                  <c:v>2.5</c:v>
                </c:pt>
                <c:pt idx="7">
                  <c:v>-16.399999999999999</c:v>
                </c:pt>
                <c:pt idx="8">
                  <c:v>-3.3</c:v>
                </c:pt>
                <c:pt idx="9">
                  <c:v>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0F-41E0-BEB8-1F902258E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001576"/>
        <c:axId val="483000920"/>
      </c:scatterChart>
      <c:valAx>
        <c:axId val="483001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000920"/>
        <c:crosses val="autoZero"/>
        <c:crossBetween val="midCat"/>
      </c:valAx>
      <c:valAx>
        <c:axId val="483000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001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94521838616"/>
          <c:y val="2.5831951407564533E-2"/>
          <c:w val="0.786566121542499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4071584174080249"/>
                  <c:y val="0.240753751934854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'Rye Harbor 11 Apr 22  '!$I$13:$I$16</c:f>
              <c:numCache>
                <c:formatCode>_(* #,##0.00000_);_(* \(#,##0.00000\);_(* "-"??_);_(@_)</c:formatCode>
                <c:ptCount val="4"/>
                <c:pt idx="0">
                  <c:v>21.05</c:v>
                </c:pt>
                <c:pt idx="1">
                  <c:v>21.067777777777778</c:v>
                </c:pt>
                <c:pt idx="2">
                  <c:v>21.089166666666664</c:v>
                </c:pt>
                <c:pt idx="3">
                  <c:v>21.108611111111113</c:v>
                </c:pt>
              </c:numCache>
            </c:numRef>
          </c:xVal>
          <c:yVal>
            <c:numRef>
              <c:f>'Rye Harbor 11 Apr 22  '!$J$13:$J$16</c:f>
              <c:numCache>
                <c:formatCode>_(* #,##0.00000_);_(* \(#,##0.00000\);_(* "-"??_);_(@_)</c:formatCode>
                <c:ptCount val="4"/>
                <c:pt idx="0">
                  <c:v>119.13</c:v>
                </c:pt>
                <c:pt idx="1">
                  <c:v>119.13833333333334</c:v>
                </c:pt>
                <c:pt idx="2">
                  <c:v>119.15333333333334</c:v>
                </c:pt>
                <c:pt idx="3">
                  <c:v>119.16333333333333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AD-4809-9DA8-DC5AC0A38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ax val="21.110000000000003"/>
          <c:min val="21.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  <c:min val="119.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94521838616"/>
          <c:y val="2.5831951407564533E-2"/>
          <c:w val="0.786566121542499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9.6727034120734912E-2"/>
                  <c:y val="-0.5264960256036371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26 Mar 22 '!$I$12:$I$16</c:f>
              <c:numCache>
                <c:formatCode>_(* #,##0.00000_);_(* \(#,##0.00000\);_(* "-"??_);_(@_)</c:formatCode>
                <c:ptCount val="5"/>
                <c:pt idx="0">
                  <c:v>12.802777777777779</c:v>
                </c:pt>
                <c:pt idx="1">
                  <c:v>12.850555555555555</c:v>
                </c:pt>
                <c:pt idx="2">
                  <c:v>12.886111111111111</c:v>
                </c:pt>
                <c:pt idx="3">
                  <c:v>12.960555555555555</c:v>
                </c:pt>
                <c:pt idx="4">
                  <c:v>12.981388888888889</c:v>
                </c:pt>
              </c:numCache>
            </c:numRef>
          </c:xVal>
          <c:yVal>
            <c:numRef>
              <c:f>'YMCA 26 Mar 22 '!$J$12:$J$16</c:f>
              <c:numCache>
                <c:formatCode>_(* #,##0.00000_);_(* \(#,##0.00000\);_(* "-"??_);_(@_)</c:formatCode>
                <c:ptCount val="5"/>
                <c:pt idx="0">
                  <c:v>72.795000000000002</c:v>
                </c:pt>
                <c:pt idx="1">
                  <c:v>72.775000000000006</c:v>
                </c:pt>
                <c:pt idx="2">
                  <c:v>72.765000000000001</c:v>
                </c:pt>
                <c:pt idx="3">
                  <c:v>72.75</c:v>
                </c:pt>
                <c:pt idx="4">
                  <c:v>72.754999999999995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86E-419C-B19D-B067692E7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ax val="13"/>
          <c:min val="12.7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94521838616"/>
          <c:y val="2.5831951407564533E-2"/>
          <c:w val="0.786566121542499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499781277340333"/>
                  <c:y val="4.94178876866525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10 Mar 22'!$I$12:$I$16</c:f>
              <c:numCache>
                <c:formatCode>_(* #,##0.00000_);_(* \(#,##0.00000\);_(* "-"??_);_(@_)</c:formatCode>
                <c:ptCount val="5"/>
                <c:pt idx="0">
                  <c:v>18.829722222222223</c:v>
                </c:pt>
                <c:pt idx="1">
                  <c:v>18.856944444444444</c:v>
                </c:pt>
                <c:pt idx="2">
                  <c:v>18.875555555555557</c:v>
                </c:pt>
                <c:pt idx="3">
                  <c:v>18.892777777777777</c:v>
                </c:pt>
                <c:pt idx="4">
                  <c:v>18.915277777777778</c:v>
                </c:pt>
              </c:numCache>
            </c:numRef>
          </c:xVal>
          <c:yVal>
            <c:numRef>
              <c:f>'YMCA 10 Mar 22'!$J$12:$J$16</c:f>
              <c:numCache>
                <c:formatCode>_(* #,##0.00000_);_(* \(#,##0.00000\);_(* "-"??_);_(@_)</c:formatCode>
                <c:ptCount val="5"/>
                <c:pt idx="0">
                  <c:v>93.713333333333338</c:v>
                </c:pt>
                <c:pt idx="1">
                  <c:v>93.72</c:v>
                </c:pt>
                <c:pt idx="2">
                  <c:v>93.724999999999994</c:v>
                </c:pt>
                <c:pt idx="3">
                  <c:v>93.73</c:v>
                </c:pt>
                <c:pt idx="4">
                  <c:v>93.733333333333334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CC5-4A4F-9FF2-7495BE9113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ax val="18.919999999999998"/>
          <c:min val="18.81000000000000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  <c:min val="93.71000000000000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94521838616"/>
          <c:y val="2.5831951407564533E-2"/>
          <c:w val="0.786566121542499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499781277340333"/>
                  <c:y val="4.941788768665256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24 Nov 2020'!$I$12:$I$16</c:f>
              <c:numCache>
                <c:formatCode>_(* #,##0.00000_);_(* \(#,##0.00000\);_(* "-"??_);_(@_)</c:formatCode>
                <c:ptCount val="5"/>
                <c:pt idx="0">
                  <c:v>21.758055555555554</c:v>
                </c:pt>
                <c:pt idx="1">
                  <c:v>21.785833333333336</c:v>
                </c:pt>
                <c:pt idx="2">
                  <c:v>21.803333333333335</c:v>
                </c:pt>
                <c:pt idx="3">
                  <c:v>21.843055555555555</c:v>
                </c:pt>
                <c:pt idx="4">
                  <c:v>21.858333333333334</c:v>
                </c:pt>
              </c:numCache>
            </c:numRef>
          </c:xVal>
          <c:yVal>
            <c:numRef>
              <c:f>'YMCA 24 Nov 2020'!$J$12:$J$16</c:f>
              <c:numCache>
                <c:formatCode>_(* #,##0.00000_);_(* \(#,##0.00000\);_(* "-"??_);_(@_)</c:formatCode>
                <c:ptCount val="5"/>
                <c:pt idx="0">
                  <c:v>68.36666666666666</c:v>
                </c:pt>
                <c:pt idx="1">
                  <c:v>68.36666666666666</c:v>
                </c:pt>
                <c:pt idx="2">
                  <c:v>68.38</c:v>
                </c:pt>
                <c:pt idx="3">
                  <c:v>68.38666666666667</c:v>
                </c:pt>
                <c:pt idx="4">
                  <c:v>68.38666666666667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DD-42CE-B00B-84FE93A58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ax val="21.9"/>
          <c:min val="21.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  <c:max val="68.400000000000006"/>
          <c:min val="68.3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94521838616"/>
          <c:y val="2.5831951407564533E-2"/>
          <c:w val="0.786566121542499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5150060569351906"/>
                  <c:y val="-0.151232179082766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21 Nov 2020  '!$I$12:$I$16</c:f>
              <c:numCache>
                <c:formatCode>_(* #,##0.00000_);_(* \(#,##0.00000\);_(* "-"??_);_(@_)</c:formatCode>
                <c:ptCount val="5"/>
                <c:pt idx="0">
                  <c:v>19.365000000000002</c:v>
                </c:pt>
                <c:pt idx="1">
                  <c:v>19.384722222222223</c:v>
                </c:pt>
              </c:numCache>
            </c:numRef>
          </c:xVal>
          <c:yVal>
            <c:numRef>
              <c:f>'YMCA 21 Nov 2020  '!$J$12:$J$16</c:f>
              <c:numCache>
                <c:formatCode>_(* #,##0.00000_);_(* \(#,##0.00000\);_(* "-"??_);_(@_)</c:formatCode>
                <c:ptCount val="5"/>
                <c:pt idx="0">
                  <c:v>85.236666666666665</c:v>
                </c:pt>
                <c:pt idx="1">
                  <c:v>85.218333333333334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B3-4504-B6FF-A7AAED364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ax val="19.5"/>
          <c:min val="19.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  <c:max val="85.3"/>
          <c:min val="85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94521838616"/>
          <c:y val="3.7476794388964244E-2"/>
          <c:w val="0.8088439666195571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7273868368977538"/>
                  <c:y val="0.2505839225536227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9 Nov 2020 '!$I$12:$I$17</c:f>
              <c:numCache>
                <c:formatCode>_(* #,##0.00000_);_(* \(#,##0.00000\);_(* "-"??_);_(@_)</c:formatCode>
                <c:ptCount val="6"/>
                <c:pt idx="0">
                  <c:v>15.322777777777777</c:v>
                </c:pt>
                <c:pt idx="1">
                  <c:v>15.345833333333333</c:v>
                </c:pt>
                <c:pt idx="2">
                  <c:v>15.370277777777778</c:v>
                </c:pt>
                <c:pt idx="3">
                  <c:v>15.392777777777777</c:v>
                </c:pt>
              </c:numCache>
            </c:numRef>
          </c:xVal>
          <c:yVal>
            <c:numRef>
              <c:f>'YMCA 9 Nov 2020 '!$J$12:$J$17</c:f>
              <c:numCache>
                <c:formatCode>_(* #,##0.00000_);_(* \(#,##0.00000\);_(* "-"??_);_(@_)</c:formatCode>
                <c:ptCount val="6"/>
                <c:pt idx="0">
                  <c:v>76.481666666666669</c:v>
                </c:pt>
                <c:pt idx="1">
                  <c:v>76.474999999999994</c:v>
                </c:pt>
                <c:pt idx="2">
                  <c:v>76.466666666666669</c:v>
                </c:pt>
                <c:pt idx="3">
                  <c:v>76.463333333333338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B5-47B3-95F4-FC3575FDA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ax val="15.5"/>
          <c:min val="15.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  <c:min val="76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4594521838616"/>
          <c:y val="2.5831951407564533E-2"/>
          <c:w val="0.7865661215424995"/>
          <c:h val="0.8886503432391024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4641193889225383"/>
                  <c:y val="7.089853196155444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'YMCA 22 Oct 2020 '!$I$12:$I$16</c:f>
              <c:numCache>
                <c:formatCode>_(* #,##0.00000_);_(* \(#,##0.00000\);_(* "-"??_);_(@_)</c:formatCode>
                <c:ptCount val="5"/>
                <c:pt idx="0">
                  <c:v>19.89</c:v>
                </c:pt>
                <c:pt idx="1">
                  <c:v>19.930833333333336</c:v>
                </c:pt>
                <c:pt idx="2">
                  <c:v>19.963333333333331</c:v>
                </c:pt>
                <c:pt idx="3">
                  <c:v>19.996111111111112</c:v>
                </c:pt>
                <c:pt idx="4">
                  <c:v>20.03638888888889</c:v>
                </c:pt>
              </c:numCache>
            </c:numRef>
          </c:xVal>
          <c:yVal>
            <c:numRef>
              <c:f>'YMCA 22 Oct 2020 '!$J$12:$J$16</c:f>
              <c:numCache>
                <c:formatCode>_(* #,##0.00000_);_(* \(#,##0.00000\);_(* "-"??_);_(@_)</c:formatCode>
                <c:ptCount val="5"/>
                <c:pt idx="0">
                  <c:v>80.933333333333337</c:v>
                </c:pt>
                <c:pt idx="1">
                  <c:v>80.943333333333328</c:v>
                </c:pt>
                <c:pt idx="2">
                  <c:v>80.959999999999994</c:v>
                </c:pt>
                <c:pt idx="3">
                  <c:v>80.968333333333334</c:v>
                </c:pt>
                <c:pt idx="4">
                  <c:v>80.976666666666674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80-4B78-B4F8-E4B868846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10664"/>
        <c:axId val="732517880"/>
      </c:scatterChart>
      <c:valAx>
        <c:axId val="732510664"/>
        <c:scaling>
          <c:orientation val="minMax"/>
          <c:max val="20.04"/>
          <c:min val="19.8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7880"/>
        <c:crosses val="autoZero"/>
        <c:crossBetween val="midCat"/>
      </c:valAx>
      <c:valAx>
        <c:axId val="732517880"/>
        <c:scaling>
          <c:orientation val="minMax"/>
          <c:max val="80.98"/>
          <c:min val="80.93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000_);_(* \(#,##0.000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510664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3</xdr:row>
      <xdr:rowOff>147637</xdr:rowOff>
    </xdr:from>
    <xdr:to>
      <xdr:col>13</xdr:col>
      <xdr:colOff>542925</xdr:colOff>
      <xdr:row>22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1597ED-8B18-4B2F-8405-1F0911F650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7</xdr:row>
      <xdr:rowOff>176212</xdr:rowOff>
    </xdr:from>
    <xdr:to>
      <xdr:col>20</xdr:col>
      <xdr:colOff>114300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8EBD34-B2CA-4372-A725-DD0BA063D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7</xdr:row>
      <xdr:rowOff>176212</xdr:rowOff>
    </xdr:from>
    <xdr:to>
      <xdr:col>20</xdr:col>
      <xdr:colOff>114300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73F044-22FD-4648-9E77-BB45CC8F9B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7</xdr:row>
      <xdr:rowOff>176212</xdr:rowOff>
    </xdr:from>
    <xdr:to>
      <xdr:col>20</xdr:col>
      <xdr:colOff>114300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974545-BF0C-415F-8037-43BE3A115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7</xdr:row>
      <xdr:rowOff>176212</xdr:rowOff>
    </xdr:from>
    <xdr:to>
      <xdr:col>21</xdr:col>
      <xdr:colOff>38100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E97DB4-196A-43BA-A042-3FC202307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7</xdr:row>
      <xdr:rowOff>176212</xdr:rowOff>
    </xdr:from>
    <xdr:to>
      <xdr:col>21</xdr:col>
      <xdr:colOff>38100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2FFA58-75A0-4CEA-8222-DCCCAC611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7</xdr:row>
      <xdr:rowOff>176212</xdr:rowOff>
    </xdr:from>
    <xdr:to>
      <xdr:col>21</xdr:col>
      <xdr:colOff>38100</xdr:colOff>
      <xdr:row>21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80FDC9-19C1-4424-B367-6087C7A76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8</xdr:row>
      <xdr:rowOff>23812</xdr:rowOff>
    </xdr:from>
    <xdr:to>
      <xdr:col>18</xdr:col>
      <xdr:colOff>552450</xdr:colOff>
      <xdr:row>28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06C954-7511-4ADC-8B04-1A7E92EA5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8</xdr:row>
      <xdr:rowOff>23812</xdr:rowOff>
    </xdr:from>
    <xdr:to>
      <xdr:col>18</xdr:col>
      <xdr:colOff>552450</xdr:colOff>
      <xdr:row>24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152E0D-BD4D-4175-A6FA-6D3A52CC94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5</xdr:row>
      <xdr:rowOff>123824</xdr:rowOff>
    </xdr:from>
    <xdr:to>
      <xdr:col>13</xdr:col>
      <xdr:colOff>219076</xdr:colOff>
      <xdr:row>25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78FC8C-6F11-4BAC-84F2-D74D8F6B3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495301</xdr:colOff>
      <xdr:row>5</xdr:row>
      <xdr:rowOff>123824</xdr:rowOff>
    </xdr:from>
    <xdr:to>
      <xdr:col>13</xdr:col>
      <xdr:colOff>219076</xdr:colOff>
      <xdr:row>25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E40C5C-17D5-4406-9193-9C1881F644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1</xdr:row>
      <xdr:rowOff>147636</xdr:rowOff>
    </xdr:from>
    <xdr:to>
      <xdr:col>20</xdr:col>
      <xdr:colOff>9525</xdr:colOff>
      <xdr:row>17</xdr:row>
      <xdr:rowOff>171449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A231FE-0143-4B01-B6A2-FF6CB6B8C9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</xdr:row>
      <xdr:rowOff>180975</xdr:rowOff>
    </xdr:from>
    <xdr:to>
      <xdr:col>20</xdr:col>
      <xdr:colOff>190500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F85E58-7C93-4AA0-BF76-EF3B0D492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</xdr:row>
      <xdr:rowOff>180975</xdr:rowOff>
    </xdr:from>
    <xdr:to>
      <xdr:col>20</xdr:col>
      <xdr:colOff>190500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00C344C-9075-4071-BE41-2C3F335AF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</xdr:row>
      <xdr:rowOff>180975</xdr:rowOff>
    </xdr:from>
    <xdr:to>
      <xdr:col>20</xdr:col>
      <xdr:colOff>190500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144A0A-E34B-4B1E-88A9-393B679C7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3</xdr:row>
      <xdr:rowOff>180975</xdr:rowOff>
    </xdr:from>
    <xdr:to>
      <xdr:col>20</xdr:col>
      <xdr:colOff>190500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73B492-6E3A-4535-B15A-8DD96CDDE6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7</xdr:row>
      <xdr:rowOff>61912</xdr:rowOff>
    </xdr:from>
    <xdr:to>
      <xdr:col>20</xdr:col>
      <xdr:colOff>190500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4514DD-25ED-41D2-800D-06F1DAE118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7</xdr:row>
      <xdr:rowOff>176212</xdr:rowOff>
    </xdr:from>
    <xdr:to>
      <xdr:col>20</xdr:col>
      <xdr:colOff>114300</xdr:colOff>
      <xdr:row>25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92614A-2FFD-4552-9D17-4C6E816B3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7</xdr:row>
      <xdr:rowOff>61912</xdr:rowOff>
    </xdr:from>
    <xdr:to>
      <xdr:col>20</xdr:col>
      <xdr:colOff>190500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8246DC-95C3-4F61-B37C-53522C592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google.com/search?q=wingaersheek+beach+cape+ann&amp;spell=1&amp;sa=X&amp;ved=2ahUKEwithsiwpPrmAhXP1FkKHe2ZBQkQkeECKAB6BAgOEC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google.com/search?q=wingaersheek+beach+cape+ann&amp;spell=1&amp;sa=X&amp;ved=2ahUKEwithsiwpPrmAhXP1FkKHe2ZBQkQkeECKAB6BAgOECY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CA0F9-C107-4A14-9E7C-0D724C72785A}">
  <dimension ref="A5:L20"/>
  <sheetViews>
    <sheetView workbookViewId="0">
      <selection activeCell="F15" sqref="F15"/>
    </sheetView>
  </sheetViews>
  <sheetFormatPr defaultRowHeight="15" x14ac:dyDescent="0.25"/>
  <cols>
    <col min="5" max="5" width="10" bestFit="1" customWidth="1"/>
  </cols>
  <sheetData>
    <row r="5" spans="1:12" x14ac:dyDescent="0.25">
      <c r="A5">
        <v>1</v>
      </c>
      <c r="B5">
        <v>15</v>
      </c>
      <c r="C5">
        <v>24</v>
      </c>
      <c r="D5">
        <v>54</v>
      </c>
      <c r="G5">
        <v>48</v>
      </c>
      <c r="H5" s="8">
        <v>57.5</v>
      </c>
      <c r="K5">
        <v>48</v>
      </c>
      <c r="L5" s="8">
        <v>56</v>
      </c>
    </row>
    <row r="6" spans="1:12" x14ac:dyDescent="0.25">
      <c r="A6">
        <v>2</v>
      </c>
      <c r="B6">
        <v>15</v>
      </c>
      <c r="C6">
        <v>26</v>
      </c>
      <c r="D6">
        <v>57</v>
      </c>
      <c r="G6">
        <v>48</v>
      </c>
      <c r="H6" s="8">
        <v>70.2</v>
      </c>
      <c r="K6">
        <v>48</v>
      </c>
      <c r="L6" s="8">
        <v>67.599999999999994</v>
      </c>
    </row>
    <row r="7" spans="1:12" x14ac:dyDescent="0.25">
      <c r="A7">
        <v>3</v>
      </c>
      <c r="B7">
        <v>15</v>
      </c>
      <c r="C7">
        <v>28</v>
      </c>
      <c r="D7">
        <v>41</v>
      </c>
      <c r="G7">
        <v>48</v>
      </c>
      <c r="H7" s="8">
        <v>79.8</v>
      </c>
      <c r="K7">
        <v>48</v>
      </c>
      <c r="L7" s="8">
        <v>77.3</v>
      </c>
    </row>
    <row r="8" spans="1:12" x14ac:dyDescent="0.25">
      <c r="A8">
        <v>4</v>
      </c>
      <c r="B8">
        <v>15</v>
      </c>
      <c r="C8">
        <v>30</v>
      </c>
      <c r="D8">
        <v>28</v>
      </c>
      <c r="G8">
        <v>48</v>
      </c>
      <c r="H8" s="8">
        <v>100</v>
      </c>
      <c r="K8">
        <v>48</v>
      </c>
      <c r="L8" s="8">
        <v>87.2</v>
      </c>
    </row>
    <row r="9" spans="1:12" x14ac:dyDescent="0.25">
      <c r="A9">
        <v>5</v>
      </c>
      <c r="B9">
        <v>15</v>
      </c>
      <c r="C9">
        <v>33</v>
      </c>
      <c r="D9">
        <v>31</v>
      </c>
      <c r="G9">
        <v>48</v>
      </c>
      <c r="H9" s="8">
        <v>105.4</v>
      </c>
      <c r="K9">
        <v>48</v>
      </c>
      <c r="L9" s="8">
        <v>103.5</v>
      </c>
    </row>
    <row r="10" spans="1:12" x14ac:dyDescent="0.25">
      <c r="H10" s="8"/>
      <c r="L10" s="8"/>
    </row>
    <row r="11" spans="1:12" x14ac:dyDescent="0.25">
      <c r="H11" s="8"/>
      <c r="L11" s="8"/>
    </row>
    <row r="12" spans="1:12" x14ac:dyDescent="0.25">
      <c r="A12">
        <v>1</v>
      </c>
      <c r="B12">
        <f>+B5</f>
        <v>15</v>
      </c>
      <c r="C12" s="9">
        <f>+C5/60</f>
        <v>0.4</v>
      </c>
      <c r="D12" s="9">
        <f>+D5/3600</f>
        <v>1.4999999999999999E-2</v>
      </c>
      <c r="E12" s="9">
        <f>+B12+C12+D12</f>
        <v>15.415000000000001</v>
      </c>
    </row>
    <row r="13" spans="1:12" x14ac:dyDescent="0.25">
      <c r="A13">
        <v>2</v>
      </c>
      <c r="B13">
        <f>+B6</f>
        <v>15</v>
      </c>
      <c r="C13" s="9">
        <f>+C6/60</f>
        <v>0.43333333333333335</v>
      </c>
      <c r="D13" s="9">
        <f>+D6/3600</f>
        <v>1.5833333333333335E-2</v>
      </c>
      <c r="E13" s="9">
        <f>+B13+C13+D13</f>
        <v>15.449166666666667</v>
      </c>
    </row>
    <row r="14" spans="1:12" x14ac:dyDescent="0.25">
      <c r="A14">
        <v>3</v>
      </c>
      <c r="B14">
        <f>+B7</f>
        <v>15</v>
      </c>
      <c r="C14" s="9">
        <f>+C7/60</f>
        <v>0.46666666666666667</v>
      </c>
      <c r="D14" s="9">
        <f>+D7/3600</f>
        <v>1.1388888888888889E-2</v>
      </c>
      <c r="E14" s="9">
        <f>+B14+C14+D14</f>
        <v>15.478055555555555</v>
      </c>
    </row>
    <row r="15" spans="1:12" x14ac:dyDescent="0.25">
      <c r="A15">
        <v>4</v>
      </c>
      <c r="B15">
        <f>+B8</f>
        <v>15</v>
      </c>
      <c r="C15" s="9">
        <f>+C8/60</f>
        <v>0.5</v>
      </c>
      <c r="D15" s="9">
        <f>+D8/3600</f>
        <v>7.7777777777777776E-3</v>
      </c>
      <c r="E15" s="9">
        <f>+B15+C15+D15</f>
        <v>15.507777777777777</v>
      </c>
    </row>
    <row r="16" spans="1:12" x14ac:dyDescent="0.25">
      <c r="A16">
        <v>5</v>
      </c>
      <c r="B16">
        <f>+B9</f>
        <v>15</v>
      </c>
      <c r="C16" s="9">
        <f>+C9/60</f>
        <v>0.55000000000000004</v>
      </c>
      <c r="D16" s="9">
        <f>+D9/3600</f>
        <v>8.611111111111111E-3</v>
      </c>
      <c r="E16" s="9">
        <f>+B16+C16+D16</f>
        <v>15.558611111111112</v>
      </c>
    </row>
    <row r="18" spans="1:12" x14ac:dyDescent="0.25">
      <c r="A18" t="s">
        <v>40</v>
      </c>
      <c r="E18" s="10">
        <f>AVERAGE(E12:E16)</f>
        <v>15.481722222222222</v>
      </c>
      <c r="G18">
        <v>48</v>
      </c>
      <c r="H18" s="11">
        <f>AVERAGE(H5:H9)</f>
        <v>82.58</v>
      </c>
      <c r="K18">
        <v>48</v>
      </c>
      <c r="L18" s="11">
        <f>AVERAGE(L5:L9)</f>
        <v>78.319999999999993</v>
      </c>
    </row>
    <row r="19" spans="1:12" x14ac:dyDescent="0.25">
      <c r="G19" s="65">
        <v>49</v>
      </c>
      <c r="H19">
        <v>22.6</v>
      </c>
      <c r="K19">
        <v>49</v>
      </c>
      <c r="L19">
        <v>18.3</v>
      </c>
    </row>
    <row r="20" spans="1:12" x14ac:dyDescent="0.25">
      <c r="B20" t="s">
        <v>99</v>
      </c>
      <c r="E20" t="s">
        <v>100</v>
      </c>
    </row>
  </sheetData>
  <pageMargins left="0.7" right="0.7" top="0.75" bottom="0.75" header="0.3" footer="0.3"/>
  <pageSetup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C4E5-6A89-4412-ABB0-1FAC6E1B6FE1}">
  <sheetPr codeName="Sheet14">
    <pageSetUpPr fitToPage="1"/>
  </sheetPr>
  <dimension ref="A1:R31"/>
  <sheetViews>
    <sheetView topLeftCell="A7" workbookViewId="0">
      <selection activeCell="H28" sqref="H28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</cols>
  <sheetData>
    <row r="1" spans="1:12" x14ac:dyDescent="0.25">
      <c r="A1" t="s">
        <v>41</v>
      </c>
      <c r="B1" s="70">
        <v>44126</v>
      </c>
      <c r="C1" s="70"/>
      <c r="J1" s="71" t="s">
        <v>50</v>
      </c>
      <c r="K1" s="71"/>
      <c r="L1" s="71"/>
    </row>
    <row r="2" spans="1:12" x14ac:dyDescent="0.25">
      <c r="A2" t="s">
        <v>42</v>
      </c>
      <c r="B2" t="s">
        <v>45</v>
      </c>
      <c r="J2" s="70">
        <v>44126</v>
      </c>
      <c r="K2" s="71"/>
      <c r="L2" s="71"/>
    </row>
    <row r="3" spans="1:12" x14ac:dyDescent="0.25">
      <c r="A3" t="s">
        <v>71</v>
      </c>
      <c r="J3" s="71" t="s">
        <v>75</v>
      </c>
      <c r="K3" s="71"/>
      <c r="L3" s="71"/>
    </row>
    <row r="4" spans="1:12" x14ac:dyDescent="0.25">
      <c r="A4" t="s">
        <v>72</v>
      </c>
      <c r="B4">
        <v>65</v>
      </c>
    </row>
    <row r="5" spans="1:12" x14ac:dyDescent="0.25">
      <c r="A5" t="s">
        <v>73</v>
      </c>
      <c r="B5" s="22">
        <v>30</v>
      </c>
    </row>
    <row r="6" spans="1:12" x14ac:dyDescent="0.25">
      <c r="A6" t="s">
        <v>74</v>
      </c>
      <c r="B6">
        <v>-2.8</v>
      </c>
    </row>
    <row r="9" spans="1:12" x14ac:dyDescent="0.25">
      <c r="A9" s="29"/>
      <c r="B9" s="68" t="s">
        <v>28</v>
      </c>
      <c r="C9" s="68"/>
      <c r="D9" s="68"/>
      <c r="E9" s="68"/>
      <c r="F9" s="68"/>
      <c r="G9" s="68"/>
      <c r="H9" s="32"/>
      <c r="I9" s="72" t="s">
        <v>29</v>
      </c>
      <c r="J9" s="72"/>
    </row>
    <row r="10" spans="1:12" x14ac:dyDescent="0.25">
      <c r="A10" s="25"/>
      <c r="B10" s="67" t="s">
        <v>35</v>
      </c>
      <c r="C10" s="68"/>
      <c r="D10" s="69"/>
      <c r="E10" s="28"/>
      <c r="F10" s="67" t="s">
        <v>36</v>
      </c>
      <c r="G10" s="68"/>
      <c r="H10" s="36"/>
      <c r="I10" s="37" t="s">
        <v>27</v>
      </c>
      <c r="J10" s="37" t="s">
        <v>38</v>
      </c>
    </row>
    <row r="11" spans="1:12" x14ac:dyDescent="0.25">
      <c r="A11" s="36" t="s">
        <v>43</v>
      </c>
      <c r="B11" s="37" t="s">
        <v>30</v>
      </c>
      <c r="C11" s="37" t="s">
        <v>31</v>
      </c>
      <c r="D11" s="37" t="s">
        <v>32</v>
      </c>
      <c r="E11" s="36"/>
      <c r="F11" s="37" t="s">
        <v>33</v>
      </c>
      <c r="G11" s="37" t="s">
        <v>34</v>
      </c>
      <c r="H11" s="26"/>
      <c r="I11" s="37" t="s">
        <v>37</v>
      </c>
      <c r="J11" s="37" t="s">
        <v>39</v>
      </c>
    </row>
    <row r="12" spans="1:12" x14ac:dyDescent="0.25">
      <c r="A12" s="26">
        <v>1</v>
      </c>
      <c r="B12" s="26">
        <v>19</v>
      </c>
      <c r="C12" s="26">
        <v>53</v>
      </c>
      <c r="D12" s="26">
        <v>24</v>
      </c>
      <c r="E12" s="26"/>
      <c r="F12" s="26">
        <v>80</v>
      </c>
      <c r="G12" s="30">
        <v>56</v>
      </c>
      <c r="H12" s="26"/>
      <c r="I12" s="33">
        <f t="shared" ref="I12:I17" si="0">+B12+(C12/60)+(D12/3600)</f>
        <v>19.89</v>
      </c>
      <c r="J12" s="33">
        <f t="shared" ref="J12:J17" si="1">+F12+G12/60</f>
        <v>80.933333333333337</v>
      </c>
    </row>
    <row r="13" spans="1:12" x14ac:dyDescent="0.25">
      <c r="A13" s="26">
        <v>2</v>
      </c>
      <c r="B13" s="26">
        <v>19</v>
      </c>
      <c r="C13" s="26">
        <v>55</v>
      </c>
      <c r="D13" s="26">
        <v>51</v>
      </c>
      <c r="E13" s="26"/>
      <c r="F13" s="26">
        <v>80</v>
      </c>
      <c r="G13" s="30">
        <v>56.6</v>
      </c>
      <c r="H13" s="26"/>
      <c r="I13" s="33">
        <f t="shared" si="0"/>
        <v>19.930833333333336</v>
      </c>
      <c r="J13" s="33">
        <f t="shared" si="1"/>
        <v>80.943333333333328</v>
      </c>
    </row>
    <row r="14" spans="1:12" x14ac:dyDescent="0.25">
      <c r="A14" s="26">
        <v>3</v>
      </c>
      <c r="B14" s="26">
        <v>19</v>
      </c>
      <c r="C14" s="26">
        <v>57</v>
      </c>
      <c r="D14" s="26">
        <v>48</v>
      </c>
      <c r="E14" s="26"/>
      <c r="F14" s="26">
        <v>80</v>
      </c>
      <c r="G14" s="30">
        <v>57.6</v>
      </c>
      <c r="H14" s="26"/>
      <c r="I14" s="33">
        <f t="shared" si="0"/>
        <v>19.963333333333331</v>
      </c>
      <c r="J14" s="33">
        <f t="shared" si="1"/>
        <v>80.959999999999994</v>
      </c>
    </row>
    <row r="15" spans="1:12" x14ac:dyDescent="0.25">
      <c r="A15" s="26">
        <v>4</v>
      </c>
      <c r="B15" s="26">
        <v>19</v>
      </c>
      <c r="C15" s="26">
        <v>59</v>
      </c>
      <c r="D15" s="26">
        <v>46</v>
      </c>
      <c r="E15" s="26"/>
      <c r="F15" s="26">
        <v>80</v>
      </c>
      <c r="G15" s="30">
        <v>58.1</v>
      </c>
      <c r="H15" s="26"/>
      <c r="I15" s="33">
        <f t="shared" si="0"/>
        <v>19.996111111111112</v>
      </c>
      <c r="J15" s="33">
        <f t="shared" si="1"/>
        <v>80.968333333333334</v>
      </c>
    </row>
    <row r="16" spans="1:12" x14ac:dyDescent="0.25">
      <c r="A16" s="27">
        <v>5</v>
      </c>
      <c r="B16" s="27">
        <v>20</v>
      </c>
      <c r="C16" s="27">
        <v>2</v>
      </c>
      <c r="D16" s="27">
        <v>11</v>
      </c>
      <c r="E16" s="27"/>
      <c r="F16" s="27">
        <v>80</v>
      </c>
      <c r="G16" s="31">
        <v>58.6</v>
      </c>
      <c r="H16" s="26"/>
      <c r="I16" s="33">
        <f t="shared" si="0"/>
        <v>20.03638888888889</v>
      </c>
      <c r="J16" s="33">
        <f t="shared" si="1"/>
        <v>80.976666666666674</v>
      </c>
    </row>
    <row r="17" spans="1:18" x14ac:dyDescent="0.25">
      <c r="G17" s="8"/>
      <c r="H17" s="26"/>
      <c r="I17" s="33">
        <f t="shared" si="0"/>
        <v>0</v>
      </c>
      <c r="J17" s="33">
        <f t="shared" si="1"/>
        <v>0</v>
      </c>
    </row>
    <row r="18" spans="1:18" x14ac:dyDescent="0.25">
      <c r="G18" s="8"/>
      <c r="H18" s="26"/>
      <c r="I18" s="26"/>
      <c r="J18" s="26"/>
    </row>
    <row r="19" spans="1:18" x14ac:dyDescent="0.25">
      <c r="A19" t="s">
        <v>40</v>
      </c>
      <c r="H19" s="36"/>
      <c r="I19" s="38">
        <f>AVERAGE(I12:I16)</f>
        <v>19.963333333333335</v>
      </c>
      <c r="J19" s="38">
        <f>AVERAGE(J12:J16)</f>
        <v>80.956333333333333</v>
      </c>
    </row>
    <row r="20" spans="1:18" x14ac:dyDescent="0.25">
      <c r="H20" s="26"/>
      <c r="I20" s="34" t="s">
        <v>52</v>
      </c>
      <c r="J20" s="34">
        <f>+B6/60</f>
        <v>-4.6666666666666662E-2</v>
      </c>
    </row>
    <row r="21" spans="1:18" x14ac:dyDescent="0.25">
      <c r="H21" s="26"/>
      <c r="I21" s="34"/>
      <c r="J21" s="34">
        <f>+J19+J20</f>
        <v>80.909666666666666</v>
      </c>
    </row>
    <row r="22" spans="1:18" x14ac:dyDescent="0.25">
      <c r="H22" s="26"/>
      <c r="I22" s="39">
        <f>ROUND(TRUNC(I19,0),0)</f>
        <v>19</v>
      </c>
      <c r="J22" s="39">
        <f>ROUND(TRUNC(J21,0),0)</f>
        <v>80</v>
      </c>
    </row>
    <row r="23" spans="1:18" x14ac:dyDescent="0.25">
      <c r="H23" s="26"/>
      <c r="I23" s="34">
        <f>(+I19-I22)</f>
        <v>0.96333333333333471</v>
      </c>
      <c r="J23" s="41">
        <f>ROUND((MOD(J21,1)*60),5)</f>
        <v>54.58</v>
      </c>
    </row>
    <row r="24" spans="1:18" x14ac:dyDescent="0.25">
      <c r="H24" s="27"/>
      <c r="I24" s="40">
        <f>ROUND(MOD(I23,1)*60,1)</f>
        <v>57.8</v>
      </c>
      <c r="J24" s="35"/>
      <c r="L24" s="32"/>
      <c r="M24" s="42" t="s">
        <v>37</v>
      </c>
      <c r="N24" s="42"/>
      <c r="O24" s="32"/>
      <c r="P24" s="42" t="s">
        <v>77</v>
      </c>
      <c r="Q24" s="42" t="s">
        <v>52</v>
      </c>
      <c r="R24" s="42" t="s">
        <v>78</v>
      </c>
    </row>
    <row r="25" spans="1:18" x14ac:dyDescent="0.25">
      <c r="I25" s="10"/>
      <c r="L25" s="36"/>
      <c r="M25" s="43">
        <v>20</v>
      </c>
      <c r="N25" s="36"/>
      <c r="O25" s="36"/>
      <c r="P25" s="36">
        <f>20*0.3105+74.759</f>
        <v>80.968999999999994</v>
      </c>
      <c r="Q25" s="36"/>
      <c r="R25" s="46"/>
    </row>
    <row r="26" spans="1:18" x14ac:dyDescent="0.25">
      <c r="I26" t="s">
        <v>53</v>
      </c>
      <c r="L26" s="44">
        <v>20</v>
      </c>
      <c r="M26" s="44">
        <v>0</v>
      </c>
      <c r="N26" s="27"/>
      <c r="O26" s="44">
        <v>80</v>
      </c>
      <c r="P26" s="47">
        <f>60*(P25-O26)</f>
        <v>58.139999999999645</v>
      </c>
      <c r="Q26" s="47">
        <f>+B6/60</f>
        <v>-4.6666666666666662E-2</v>
      </c>
      <c r="R26" s="47">
        <f>+P26+Q26</f>
        <v>58.093333333332978</v>
      </c>
    </row>
    <row r="29" spans="1:18" x14ac:dyDescent="0.25">
      <c r="B29" t="s">
        <v>76</v>
      </c>
      <c r="G29" s="8"/>
      <c r="I29" s="9"/>
      <c r="J29" s="9"/>
    </row>
    <row r="30" spans="1:18" x14ac:dyDescent="0.25">
      <c r="G30" s="8"/>
      <c r="I30" s="9"/>
      <c r="J30" s="9"/>
    </row>
    <row r="31" spans="1:18" x14ac:dyDescent="0.25">
      <c r="K31" s="13"/>
      <c r="M31" s="13"/>
      <c r="Q31" s="14"/>
    </row>
  </sheetData>
  <mergeCells count="8">
    <mergeCell ref="B10:D10"/>
    <mergeCell ref="F10:G10"/>
    <mergeCell ref="B1:C1"/>
    <mergeCell ref="J1:L1"/>
    <mergeCell ref="J2:L2"/>
    <mergeCell ref="J3:L3"/>
    <mergeCell ref="B9:G9"/>
    <mergeCell ref="I9:J9"/>
  </mergeCells>
  <pageMargins left="0.7" right="0.7" top="0.75" bottom="0.75" header="0.3" footer="0.3"/>
  <pageSetup scale="65" orientation="landscape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C66C-E93F-4FA5-BC26-EB674E0F3461}">
  <sheetPr codeName="Sheet13">
    <pageSetUpPr fitToPage="1"/>
  </sheetPr>
  <dimension ref="A1:Q34"/>
  <sheetViews>
    <sheetView topLeftCell="A2" workbookViewId="0">
      <selection activeCell="H28" sqref="H28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  <col min="15" max="15" width="10.5703125" bestFit="1" customWidth="1"/>
  </cols>
  <sheetData>
    <row r="1" spans="1:12" x14ac:dyDescent="0.25">
      <c r="A1" t="s">
        <v>41</v>
      </c>
      <c r="B1" s="70">
        <v>44112</v>
      </c>
      <c r="C1" s="70"/>
    </row>
    <row r="2" spans="1:12" x14ac:dyDescent="0.25">
      <c r="A2" t="s">
        <v>42</v>
      </c>
      <c r="B2" t="s">
        <v>45</v>
      </c>
    </row>
    <row r="3" spans="1:12" x14ac:dyDescent="0.25">
      <c r="A3" t="s">
        <v>71</v>
      </c>
    </row>
    <row r="4" spans="1:12" x14ac:dyDescent="0.25">
      <c r="A4" t="s">
        <v>72</v>
      </c>
      <c r="B4">
        <v>55</v>
      </c>
    </row>
    <row r="5" spans="1:12" x14ac:dyDescent="0.25">
      <c r="A5" t="s">
        <v>73</v>
      </c>
      <c r="B5" s="22">
        <v>30</v>
      </c>
      <c r="J5" s="71" t="s">
        <v>50</v>
      </c>
      <c r="K5" s="71"/>
      <c r="L5" s="71"/>
    </row>
    <row r="6" spans="1:12" x14ac:dyDescent="0.25">
      <c r="A6" t="s">
        <v>74</v>
      </c>
      <c r="B6">
        <v>-2.9</v>
      </c>
      <c r="J6" s="70">
        <v>44112</v>
      </c>
      <c r="K6" s="71"/>
      <c r="L6" s="71"/>
    </row>
    <row r="7" spans="1:12" x14ac:dyDescent="0.25">
      <c r="J7" s="71" t="s">
        <v>75</v>
      </c>
      <c r="K7" s="71"/>
      <c r="L7" s="71"/>
    </row>
    <row r="9" spans="1:12" x14ac:dyDescent="0.25">
      <c r="B9" s="71" t="s">
        <v>28</v>
      </c>
      <c r="C9" s="71"/>
      <c r="D9" s="71"/>
      <c r="E9" s="71"/>
      <c r="F9" s="71"/>
      <c r="G9" s="71"/>
      <c r="I9" s="71" t="s">
        <v>29</v>
      </c>
      <c r="J9" s="71"/>
    </row>
    <row r="10" spans="1:12" x14ac:dyDescent="0.25">
      <c r="B10" s="71" t="s">
        <v>35</v>
      </c>
      <c r="C10" s="71"/>
      <c r="D10" s="71"/>
      <c r="E10" s="24"/>
      <c r="F10" s="71" t="s">
        <v>36</v>
      </c>
      <c r="G10" s="71"/>
      <c r="I10" s="24" t="s">
        <v>27</v>
      </c>
      <c r="J10" s="24" t="s">
        <v>38</v>
      </c>
    </row>
    <row r="11" spans="1:12" x14ac:dyDescent="0.25">
      <c r="A11" t="s">
        <v>43</v>
      </c>
      <c r="B11" s="24" t="s">
        <v>30</v>
      </c>
      <c r="C11" s="24" t="s">
        <v>31</v>
      </c>
      <c r="D11" s="24" t="s">
        <v>32</v>
      </c>
      <c r="F11" s="24" t="s">
        <v>33</v>
      </c>
      <c r="G11" s="24" t="s">
        <v>34</v>
      </c>
      <c r="I11" s="24" t="s">
        <v>37</v>
      </c>
      <c r="J11" s="24" t="s">
        <v>39</v>
      </c>
    </row>
    <row r="12" spans="1:12" x14ac:dyDescent="0.25">
      <c r="A12">
        <v>1</v>
      </c>
      <c r="B12">
        <v>15</v>
      </c>
      <c r="C12">
        <v>19</v>
      </c>
      <c r="D12">
        <v>11</v>
      </c>
      <c r="F12">
        <v>106</v>
      </c>
      <c r="G12" s="8">
        <v>12.8</v>
      </c>
      <c r="I12" s="9">
        <f>+B12+(C12/60)+(D12/3600)</f>
        <v>15.319722222222222</v>
      </c>
      <c r="J12" s="9">
        <f t="shared" ref="J12:J20" si="0">+F12+G12/60</f>
        <v>106.21333333333334</v>
      </c>
    </row>
    <row r="13" spans="1:12" x14ac:dyDescent="0.25">
      <c r="A13">
        <v>2</v>
      </c>
      <c r="B13">
        <v>15</v>
      </c>
      <c r="C13">
        <v>21</v>
      </c>
      <c r="D13">
        <v>12</v>
      </c>
      <c r="F13">
        <v>106</v>
      </c>
      <c r="G13" s="8">
        <v>10.4</v>
      </c>
      <c r="I13" s="9">
        <f t="shared" ref="I13:I20" si="1">+B13+(C13/60)+(D13/3600)</f>
        <v>15.353333333333333</v>
      </c>
      <c r="J13" s="9">
        <f t="shared" si="0"/>
        <v>106.17333333333333</v>
      </c>
    </row>
    <row r="14" spans="1:12" x14ac:dyDescent="0.25">
      <c r="A14">
        <v>3</v>
      </c>
      <c r="B14">
        <v>15</v>
      </c>
      <c r="C14">
        <v>22</v>
      </c>
      <c r="D14">
        <v>17</v>
      </c>
      <c r="F14">
        <v>106</v>
      </c>
      <c r="G14" s="8">
        <v>10.8</v>
      </c>
      <c r="I14" s="9">
        <f t="shared" si="1"/>
        <v>15.371388888888889</v>
      </c>
      <c r="J14" s="9">
        <f t="shared" si="0"/>
        <v>106.18</v>
      </c>
    </row>
    <row r="15" spans="1:12" x14ac:dyDescent="0.25">
      <c r="A15">
        <v>4</v>
      </c>
      <c r="B15">
        <v>15</v>
      </c>
      <c r="C15">
        <v>23</v>
      </c>
      <c r="D15">
        <v>6</v>
      </c>
      <c r="F15">
        <v>106</v>
      </c>
      <c r="G15" s="8">
        <v>9.3000000000000007</v>
      </c>
      <c r="I15" s="9">
        <f t="shared" si="1"/>
        <v>15.385</v>
      </c>
      <c r="J15" s="9">
        <f t="shared" si="0"/>
        <v>106.155</v>
      </c>
    </row>
    <row r="16" spans="1:12" x14ac:dyDescent="0.25">
      <c r="A16">
        <v>5</v>
      </c>
      <c r="B16">
        <v>15</v>
      </c>
      <c r="C16">
        <v>24</v>
      </c>
      <c r="D16">
        <v>6</v>
      </c>
      <c r="F16">
        <v>106</v>
      </c>
      <c r="G16" s="8">
        <v>9.5</v>
      </c>
      <c r="I16" s="9">
        <f t="shared" si="1"/>
        <v>15.401666666666667</v>
      </c>
      <c r="J16" s="9">
        <f t="shared" si="0"/>
        <v>106.15833333333333</v>
      </c>
    </row>
    <row r="17" spans="1:16" x14ac:dyDescent="0.25">
      <c r="A17">
        <v>6</v>
      </c>
      <c r="B17">
        <v>15</v>
      </c>
      <c r="C17">
        <v>25</v>
      </c>
      <c r="D17">
        <v>0</v>
      </c>
      <c r="F17">
        <v>106</v>
      </c>
      <c r="G17" s="8">
        <v>8.8000000000000007</v>
      </c>
      <c r="I17" s="9">
        <f t="shared" si="1"/>
        <v>15.416666666666666</v>
      </c>
      <c r="J17" s="9">
        <f t="shared" si="0"/>
        <v>106.14666666666666</v>
      </c>
    </row>
    <row r="18" spans="1:16" x14ac:dyDescent="0.25">
      <c r="A18">
        <v>7</v>
      </c>
      <c r="B18">
        <v>15</v>
      </c>
      <c r="C18">
        <v>26</v>
      </c>
      <c r="D18">
        <v>44</v>
      </c>
      <c r="F18">
        <v>106</v>
      </c>
      <c r="G18" s="8">
        <v>8</v>
      </c>
      <c r="I18" s="9">
        <f t="shared" si="1"/>
        <v>15.445555555555556</v>
      </c>
      <c r="J18" s="9">
        <f t="shared" si="0"/>
        <v>106.13333333333334</v>
      </c>
    </row>
    <row r="19" spans="1:16" x14ac:dyDescent="0.25">
      <c r="A19">
        <v>8</v>
      </c>
      <c r="B19">
        <v>15</v>
      </c>
      <c r="C19">
        <v>27</v>
      </c>
      <c r="D19">
        <v>57</v>
      </c>
      <c r="F19">
        <v>106</v>
      </c>
      <c r="G19" s="8">
        <v>7.8</v>
      </c>
      <c r="I19" s="9">
        <f t="shared" si="1"/>
        <v>15.465833333333332</v>
      </c>
      <c r="J19" s="9">
        <f t="shared" si="0"/>
        <v>106.13</v>
      </c>
    </row>
    <row r="20" spans="1:16" x14ac:dyDescent="0.25">
      <c r="G20" s="8"/>
      <c r="I20" s="9">
        <f t="shared" si="1"/>
        <v>0</v>
      </c>
      <c r="J20" s="9">
        <f t="shared" si="0"/>
        <v>0</v>
      </c>
    </row>
    <row r="21" spans="1:16" x14ac:dyDescent="0.25">
      <c r="G21" s="8"/>
    </row>
    <row r="22" spans="1:16" x14ac:dyDescent="0.25">
      <c r="A22" t="s">
        <v>40</v>
      </c>
      <c r="I22" s="10">
        <f>AVERAGE(I12:I19)</f>
        <v>15.394895833333335</v>
      </c>
      <c r="J22" s="10">
        <f>AVERAGE(J12:J19)</f>
        <v>106.16125</v>
      </c>
    </row>
    <row r="23" spans="1:16" x14ac:dyDescent="0.25">
      <c r="I23" s="10" t="s">
        <v>52</v>
      </c>
      <c r="J23" s="10">
        <v>-2.9</v>
      </c>
    </row>
    <row r="24" spans="1:16" x14ac:dyDescent="0.25">
      <c r="I24" s="10"/>
      <c r="J24" s="10">
        <f>+J22+J23</f>
        <v>103.26124999999999</v>
      </c>
    </row>
    <row r="25" spans="1:16" x14ac:dyDescent="0.25">
      <c r="I25" s="12">
        <f>ROUND(TRUNC(I22,0),0)</f>
        <v>15</v>
      </c>
      <c r="J25" s="12">
        <f>ROUND(TRUNC(J24,0),0)</f>
        <v>103</v>
      </c>
    </row>
    <row r="26" spans="1:16" x14ac:dyDescent="0.25">
      <c r="I26" s="10">
        <f>(+I22-I25)</f>
        <v>0.39489583333333478</v>
      </c>
      <c r="J26" s="11">
        <f>ROUND((MOD(J24,1)*60),5)</f>
        <v>15.675000000000001</v>
      </c>
    </row>
    <row r="27" spans="1:16" x14ac:dyDescent="0.25">
      <c r="I27" s="11">
        <f>ROUND(MOD(I26,1)*60,1)</f>
        <v>23.7</v>
      </c>
      <c r="J27" s="12"/>
      <c r="M27" s="24" t="s">
        <v>37</v>
      </c>
      <c r="N27" s="24"/>
      <c r="P27" s="24" t="s">
        <v>53</v>
      </c>
    </row>
    <row r="28" spans="1:16" x14ac:dyDescent="0.25">
      <c r="I28" s="10"/>
      <c r="M28" s="5">
        <v>15.4</v>
      </c>
      <c r="P28">
        <f>-15.4*0.5428+114.52-2.9</f>
        <v>103.26087999999999</v>
      </c>
    </row>
    <row r="29" spans="1:16" x14ac:dyDescent="0.25">
      <c r="I29" t="s">
        <v>53</v>
      </c>
      <c r="L29" s="5">
        <f>INT(M28)</f>
        <v>15</v>
      </c>
      <c r="M29" s="5">
        <f>+M28-L29</f>
        <v>0.40000000000000036</v>
      </c>
      <c r="O29" s="5">
        <f>INT(P28)</f>
        <v>103</v>
      </c>
      <c r="P29" s="5">
        <f>+P28-O29</f>
        <v>0.26087999999998601</v>
      </c>
    </row>
    <row r="30" spans="1:16" x14ac:dyDescent="0.25">
      <c r="O30" s="19">
        <f>+O29</f>
        <v>103</v>
      </c>
      <c r="P30" s="14">
        <f>+P29*60</f>
        <v>15.652799999999161</v>
      </c>
    </row>
    <row r="32" spans="1:16" x14ac:dyDescent="0.25">
      <c r="B32" t="s">
        <v>76</v>
      </c>
      <c r="G32" s="8"/>
      <c r="I32" s="9"/>
      <c r="J32" s="9"/>
    </row>
    <row r="33" spans="7:17" x14ac:dyDescent="0.25">
      <c r="G33" s="8"/>
      <c r="I33" s="9"/>
      <c r="J33" s="9"/>
    </row>
    <row r="34" spans="7:17" x14ac:dyDescent="0.25">
      <c r="K34" s="13"/>
      <c r="M34" s="13"/>
      <c r="Q34" s="14"/>
    </row>
  </sheetData>
  <mergeCells count="8">
    <mergeCell ref="B10:D10"/>
    <mergeCell ref="F10:G10"/>
    <mergeCell ref="B1:C1"/>
    <mergeCell ref="J5:L5"/>
    <mergeCell ref="J6:L6"/>
    <mergeCell ref="J7:L7"/>
    <mergeCell ref="B9:G9"/>
    <mergeCell ref="I9:J9"/>
  </mergeCells>
  <pageMargins left="0.7" right="0.7" top="0.75" bottom="0.75" header="0.3" footer="0.3"/>
  <pageSetup scale="65" orientation="landscape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B68BE-D9F1-4F1E-8029-EB8506E6D245}">
  <sheetPr codeName="Sheet12">
    <pageSetUpPr fitToPage="1"/>
  </sheetPr>
  <dimension ref="A1:Q31"/>
  <sheetViews>
    <sheetView workbookViewId="0">
      <selection activeCell="H28" sqref="H28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</cols>
  <sheetData>
    <row r="1" spans="1:12" x14ac:dyDescent="0.25">
      <c r="A1" t="s">
        <v>41</v>
      </c>
      <c r="B1" s="70">
        <v>43982</v>
      </c>
      <c r="C1" s="70"/>
    </row>
    <row r="2" spans="1:12" x14ac:dyDescent="0.25">
      <c r="A2" t="s">
        <v>42</v>
      </c>
      <c r="B2" t="s">
        <v>45</v>
      </c>
    </row>
    <row r="3" spans="1:12" x14ac:dyDescent="0.25">
      <c r="A3" t="s">
        <v>71</v>
      </c>
    </row>
    <row r="4" spans="1:12" x14ac:dyDescent="0.25">
      <c r="A4" t="s">
        <v>72</v>
      </c>
      <c r="B4">
        <v>65</v>
      </c>
    </row>
    <row r="5" spans="1:12" x14ac:dyDescent="0.25">
      <c r="A5" t="s">
        <v>73</v>
      </c>
      <c r="B5" s="22">
        <v>30</v>
      </c>
      <c r="J5" s="71" t="s">
        <v>50</v>
      </c>
      <c r="K5" s="71"/>
      <c r="L5" s="71"/>
    </row>
    <row r="6" spans="1:12" x14ac:dyDescent="0.25">
      <c r="A6" t="s">
        <v>74</v>
      </c>
      <c r="B6">
        <v>-3</v>
      </c>
      <c r="J6" s="70">
        <v>43982</v>
      </c>
      <c r="K6" s="71"/>
      <c r="L6" s="71"/>
    </row>
    <row r="7" spans="1:12" x14ac:dyDescent="0.25">
      <c r="J7" s="71" t="s">
        <v>75</v>
      </c>
      <c r="K7" s="71"/>
      <c r="L7" s="71"/>
    </row>
    <row r="9" spans="1:12" x14ac:dyDescent="0.25">
      <c r="B9" s="71" t="s">
        <v>28</v>
      </c>
      <c r="C9" s="71"/>
      <c r="D9" s="71"/>
      <c r="E9" s="71"/>
      <c r="F9" s="71"/>
      <c r="G9" s="71"/>
      <c r="I9" s="71" t="s">
        <v>29</v>
      </c>
      <c r="J9" s="71"/>
    </row>
    <row r="10" spans="1:12" x14ac:dyDescent="0.25">
      <c r="B10" s="71" t="s">
        <v>35</v>
      </c>
      <c r="C10" s="71"/>
      <c r="D10" s="71"/>
      <c r="E10" s="23"/>
      <c r="F10" s="71" t="s">
        <v>36</v>
      </c>
      <c r="G10" s="71"/>
      <c r="I10" s="23" t="s">
        <v>27</v>
      </c>
      <c r="J10" s="23" t="s">
        <v>38</v>
      </c>
    </row>
    <row r="11" spans="1:12" x14ac:dyDescent="0.25">
      <c r="A11" t="s">
        <v>43</v>
      </c>
      <c r="B11" s="23" t="s">
        <v>30</v>
      </c>
      <c r="C11" s="23" t="s">
        <v>31</v>
      </c>
      <c r="D11" s="23" t="s">
        <v>32</v>
      </c>
      <c r="F11" s="23" t="s">
        <v>33</v>
      </c>
      <c r="G11" s="23" t="s">
        <v>34</v>
      </c>
      <c r="I11" s="23" t="s">
        <v>37</v>
      </c>
      <c r="J11" s="23" t="s">
        <v>39</v>
      </c>
    </row>
    <row r="12" spans="1:12" x14ac:dyDescent="0.25">
      <c r="A12">
        <v>1</v>
      </c>
      <c r="B12">
        <v>21</v>
      </c>
      <c r="C12">
        <v>20</v>
      </c>
      <c r="D12">
        <v>10</v>
      </c>
      <c r="F12">
        <v>113</v>
      </c>
      <c r="G12" s="8">
        <v>16.5</v>
      </c>
      <c r="I12" s="9">
        <f t="shared" ref="I12:I17" si="0">+B12+(C12/60)+(D12/3600)</f>
        <v>21.336111111111109</v>
      </c>
      <c r="J12" s="9">
        <f t="shared" ref="J12:J17" si="1">+F12+G12/60</f>
        <v>113.27500000000001</v>
      </c>
    </row>
    <row r="13" spans="1:12" x14ac:dyDescent="0.25">
      <c r="A13">
        <v>2</v>
      </c>
      <c r="B13">
        <v>21</v>
      </c>
      <c r="C13">
        <v>24</v>
      </c>
      <c r="D13">
        <v>26</v>
      </c>
      <c r="F13">
        <v>113</v>
      </c>
      <c r="G13" s="8">
        <v>21.2</v>
      </c>
      <c r="I13" s="9">
        <f t="shared" si="0"/>
        <v>21.40722222222222</v>
      </c>
      <c r="J13" s="9">
        <f t="shared" si="1"/>
        <v>113.35333333333334</v>
      </c>
    </row>
    <row r="14" spans="1:12" x14ac:dyDescent="0.25">
      <c r="A14">
        <v>3</v>
      </c>
      <c r="B14">
        <v>21</v>
      </c>
      <c r="C14">
        <v>26</v>
      </c>
      <c r="D14">
        <v>45</v>
      </c>
      <c r="F14">
        <v>113</v>
      </c>
      <c r="G14" s="8">
        <v>19.600000000000001</v>
      </c>
      <c r="I14" s="9">
        <f t="shared" si="0"/>
        <v>21.445833333333333</v>
      </c>
      <c r="J14" s="9">
        <f t="shared" si="1"/>
        <v>113.32666666666667</v>
      </c>
    </row>
    <row r="15" spans="1:12" x14ac:dyDescent="0.25">
      <c r="A15">
        <v>4</v>
      </c>
      <c r="B15">
        <v>21</v>
      </c>
      <c r="C15">
        <v>34</v>
      </c>
      <c r="D15">
        <v>36</v>
      </c>
      <c r="F15">
        <v>113</v>
      </c>
      <c r="G15" s="8">
        <v>23.6</v>
      </c>
      <c r="I15" s="9">
        <f t="shared" si="0"/>
        <v>21.576666666666668</v>
      </c>
      <c r="J15" s="9">
        <f t="shared" si="1"/>
        <v>113.39333333333333</v>
      </c>
    </row>
    <row r="16" spans="1:12" x14ac:dyDescent="0.25">
      <c r="A16">
        <v>5</v>
      </c>
      <c r="B16">
        <v>21</v>
      </c>
      <c r="C16">
        <v>38</v>
      </c>
      <c r="D16">
        <v>18</v>
      </c>
      <c r="F16">
        <v>113</v>
      </c>
      <c r="G16" s="8">
        <v>27.2</v>
      </c>
      <c r="I16" s="9">
        <f t="shared" si="0"/>
        <v>21.638333333333332</v>
      </c>
      <c r="J16" s="9">
        <f t="shared" si="1"/>
        <v>113.45333333333333</v>
      </c>
    </row>
    <row r="17" spans="1:17" x14ac:dyDescent="0.25">
      <c r="G17" s="8"/>
      <c r="I17" s="9">
        <f t="shared" si="0"/>
        <v>0</v>
      </c>
      <c r="J17" s="9">
        <f t="shared" si="1"/>
        <v>0</v>
      </c>
    </row>
    <row r="18" spans="1:17" x14ac:dyDescent="0.25">
      <c r="G18" s="8"/>
    </row>
    <row r="19" spans="1:17" x14ac:dyDescent="0.25">
      <c r="A19" t="s">
        <v>40</v>
      </c>
      <c r="I19" s="10">
        <f>AVERAGE(I12:I16)</f>
        <v>21.480833333333333</v>
      </c>
      <c r="J19" s="10">
        <f>AVERAGE(J12:J16)</f>
        <v>113.36033333333333</v>
      </c>
    </row>
    <row r="20" spans="1:17" x14ac:dyDescent="0.25">
      <c r="I20" s="10" t="s">
        <v>52</v>
      </c>
      <c r="J20" s="10">
        <v>-3</v>
      </c>
    </row>
    <row r="21" spans="1:17" x14ac:dyDescent="0.25">
      <c r="I21" s="10"/>
      <c r="J21" s="10">
        <f>+J19+J20</f>
        <v>110.36033333333333</v>
      </c>
    </row>
    <row r="22" spans="1:17" x14ac:dyDescent="0.25">
      <c r="I22" s="12">
        <f>ROUND(TRUNC(I19,0),0)</f>
        <v>21</v>
      </c>
      <c r="J22" s="12">
        <f>ROUND(TRUNC(J21,0),0)</f>
        <v>110</v>
      </c>
    </row>
    <row r="23" spans="1:17" x14ac:dyDescent="0.25">
      <c r="I23" s="10">
        <f>(+I19-I22)</f>
        <v>0.480833333333333</v>
      </c>
      <c r="J23" s="11">
        <f>ROUND((MOD(J21,1)*60),5)</f>
        <v>21.62</v>
      </c>
    </row>
    <row r="24" spans="1:17" x14ac:dyDescent="0.25">
      <c r="I24" s="11">
        <f>ROUND(MOD(I23,1)*60,1)</f>
        <v>28.9</v>
      </c>
      <c r="J24" s="12"/>
      <c r="M24" s="23" t="s">
        <v>37</v>
      </c>
      <c r="N24" s="23"/>
      <c r="P24" s="23" t="s">
        <v>53</v>
      </c>
    </row>
    <row r="25" spans="1:17" x14ac:dyDescent="0.25">
      <c r="I25" s="10"/>
      <c r="M25" s="5">
        <v>21.5</v>
      </c>
      <c r="P25">
        <f>21.5*0.5173+102.25</f>
        <v>113.37195</v>
      </c>
    </row>
    <row r="26" spans="1:17" x14ac:dyDescent="0.25">
      <c r="I26" t="s">
        <v>53</v>
      </c>
      <c r="L26">
        <v>21</v>
      </c>
      <c r="M26">
        <v>30</v>
      </c>
      <c r="O26">
        <v>113</v>
      </c>
      <c r="P26">
        <f>60*(P25-O26)</f>
        <v>22.316999999999894</v>
      </c>
      <c r="Q26">
        <f>+(P26-22)*60</f>
        <v>19.019999999993615</v>
      </c>
    </row>
    <row r="29" spans="1:17" x14ac:dyDescent="0.25">
      <c r="B29" t="s">
        <v>76</v>
      </c>
      <c r="G29" s="8"/>
      <c r="I29" s="9"/>
      <c r="J29" s="9"/>
    </row>
    <row r="30" spans="1:17" x14ac:dyDescent="0.25">
      <c r="G30" s="8"/>
      <c r="I30" s="9"/>
      <c r="J30" s="9"/>
    </row>
    <row r="31" spans="1:17" x14ac:dyDescent="0.25">
      <c r="K31" s="13"/>
      <c r="M31" s="13"/>
      <c r="Q31" s="14"/>
    </row>
  </sheetData>
  <mergeCells count="8">
    <mergeCell ref="B10:D10"/>
    <mergeCell ref="F10:G10"/>
    <mergeCell ref="B1:C1"/>
    <mergeCell ref="J5:L5"/>
    <mergeCell ref="J6:L6"/>
    <mergeCell ref="J7:L7"/>
    <mergeCell ref="B9:G9"/>
    <mergeCell ref="I9:J9"/>
  </mergeCells>
  <pageMargins left="0.7" right="0.7" top="0.75" bottom="0.75" header="0.3" footer="0.3"/>
  <pageSetup scale="65" orientation="landscape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8B9E2-07B5-4D0B-94FD-58159A6C1070}">
  <sheetPr codeName="Sheet11">
    <pageSetUpPr fitToPage="1"/>
  </sheetPr>
  <dimension ref="A1:Q31"/>
  <sheetViews>
    <sheetView topLeftCell="A10" workbookViewId="0">
      <selection activeCell="H28" sqref="H28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</cols>
  <sheetData>
    <row r="1" spans="1:12" x14ac:dyDescent="0.25">
      <c r="A1" t="s">
        <v>41</v>
      </c>
      <c r="B1" s="70">
        <v>43965</v>
      </c>
      <c r="C1" s="70"/>
    </row>
    <row r="2" spans="1:12" x14ac:dyDescent="0.25">
      <c r="A2" t="s">
        <v>42</v>
      </c>
      <c r="B2" t="s">
        <v>45</v>
      </c>
    </row>
    <row r="3" spans="1:12" x14ac:dyDescent="0.25">
      <c r="A3" t="s">
        <v>71</v>
      </c>
    </row>
    <row r="4" spans="1:12" x14ac:dyDescent="0.25">
      <c r="A4" t="s">
        <v>72</v>
      </c>
      <c r="B4">
        <v>50</v>
      </c>
    </row>
    <row r="5" spans="1:12" x14ac:dyDescent="0.25">
      <c r="A5" t="s">
        <v>73</v>
      </c>
      <c r="B5" s="22">
        <v>30</v>
      </c>
      <c r="J5" s="71" t="s">
        <v>50</v>
      </c>
      <c r="K5" s="71"/>
      <c r="L5" s="71"/>
    </row>
    <row r="6" spans="1:12" x14ac:dyDescent="0.25">
      <c r="A6" t="s">
        <v>74</v>
      </c>
      <c r="B6">
        <v>-2.7</v>
      </c>
      <c r="J6" s="70">
        <v>43965</v>
      </c>
      <c r="K6" s="71"/>
      <c r="L6" s="71"/>
    </row>
    <row r="7" spans="1:12" x14ac:dyDescent="0.25">
      <c r="J7" s="71" t="s">
        <v>75</v>
      </c>
      <c r="K7" s="71"/>
      <c r="L7" s="71"/>
    </row>
    <row r="9" spans="1:12" x14ac:dyDescent="0.25">
      <c r="B9" s="71" t="s">
        <v>28</v>
      </c>
      <c r="C9" s="71"/>
      <c r="D9" s="71"/>
      <c r="E9" s="71"/>
      <c r="F9" s="71"/>
      <c r="G9" s="71"/>
      <c r="I9" s="71" t="s">
        <v>29</v>
      </c>
      <c r="J9" s="71"/>
    </row>
    <row r="10" spans="1:12" x14ac:dyDescent="0.25">
      <c r="B10" s="71" t="s">
        <v>35</v>
      </c>
      <c r="C10" s="71"/>
      <c r="D10" s="71"/>
      <c r="E10" s="21"/>
      <c r="F10" s="71" t="s">
        <v>36</v>
      </c>
      <c r="G10" s="71"/>
      <c r="I10" s="21" t="s">
        <v>27</v>
      </c>
      <c r="J10" s="21" t="s">
        <v>38</v>
      </c>
    </row>
    <row r="11" spans="1:12" x14ac:dyDescent="0.25">
      <c r="A11" t="s">
        <v>43</v>
      </c>
      <c r="B11" s="21" t="s">
        <v>30</v>
      </c>
      <c r="C11" s="21" t="s">
        <v>31</v>
      </c>
      <c r="D11" s="21" t="s">
        <v>32</v>
      </c>
      <c r="F11" s="21" t="s">
        <v>33</v>
      </c>
      <c r="G11" s="21" t="s">
        <v>34</v>
      </c>
      <c r="I11" s="21" t="s">
        <v>37</v>
      </c>
      <c r="J11" s="21" t="s">
        <v>39</v>
      </c>
    </row>
    <row r="12" spans="1:12" x14ac:dyDescent="0.25">
      <c r="A12">
        <v>1</v>
      </c>
      <c r="B12">
        <v>12</v>
      </c>
      <c r="C12">
        <v>29</v>
      </c>
      <c r="D12">
        <v>18</v>
      </c>
      <c r="F12">
        <v>90</v>
      </c>
      <c r="G12" s="8">
        <v>44.2</v>
      </c>
      <c r="I12" s="9">
        <f t="shared" ref="I12:I17" si="0">+B12+(C12/60)+(D12/3600)</f>
        <v>12.488333333333333</v>
      </c>
      <c r="J12" s="9">
        <f t="shared" ref="J12:J17" si="1">+F12+G12/60</f>
        <v>90.736666666666665</v>
      </c>
    </row>
    <row r="13" spans="1:12" x14ac:dyDescent="0.25">
      <c r="A13">
        <v>2</v>
      </c>
      <c r="B13">
        <v>12</v>
      </c>
      <c r="C13">
        <v>30</v>
      </c>
      <c r="D13">
        <v>42</v>
      </c>
      <c r="F13">
        <v>90</v>
      </c>
      <c r="G13" s="8">
        <v>44</v>
      </c>
      <c r="I13" s="9">
        <f t="shared" si="0"/>
        <v>12.511666666666667</v>
      </c>
      <c r="J13" s="9">
        <f t="shared" si="1"/>
        <v>90.733333333333334</v>
      </c>
    </row>
    <row r="14" spans="1:12" x14ac:dyDescent="0.25">
      <c r="A14">
        <v>3</v>
      </c>
      <c r="B14">
        <v>12</v>
      </c>
      <c r="C14">
        <v>31</v>
      </c>
      <c r="D14">
        <v>56</v>
      </c>
      <c r="F14">
        <v>90</v>
      </c>
      <c r="G14" s="8">
        <v>43.6</v>
      </c>
      <c r="I14" s="9">
        <f t="shared" si="0"/>
        <v>12.532222222222224</v>
      </c>
      <c r="J14" s="9">
        <f t="shared" si="1"/>
        <v>90.726666666666674</v>
      </c>
    </row>
    <row r="15" spans="1:12" x14ac:dyDescent="0.25">
      <c r="A15">
        <v>4</v>
      </c>
      <c r="B15">
        <v>12</v>
      </c>
      <c r="C15">
        <v>33</v>
      </c>
      <c r="D15">
        <v>32</v>
      </c>
      <c r="F15">
        <v>90</v>
      </c>
      <c r="G15" s="8">
        <v>42.3</v>
      </c>
      <c r="I15" s="9">
        <f t="shared" si="0"/>
        <v>12.558888888888889</v>
      </c>
      <c r="J15" s="9">
        <f t="shared" si="1"/>
        <v>90.704999999999998</v>
      </c>
    </row>
    <row r="16" spans="1:12" x14ac:dyDescent="0.25">
      <c r="A16">
        <v>5</v>
      </c>
      <c r="B16">
        <v>12</v>
      </c>
      <c r="C16">
        <v>35</v>
      </c>
      <c r="D16">
        <v>15</v>
      </c>
      <c r="F16">
        <v>90</v>
      </c>
      <c r="G16" s="8">
        <v>41.1</v>
      </c>
      <c r="I16" s="9">
        <f t="shared" si="0"/>
        <v>12.5875</v>
      </c>
      <c r="J16" s="9">
        <f t="shared" si="1"/>
        <v>90.685000000000002</v>
      </c>
    </row>
    <row r="17" spans="1:17" x14ac:dyDescent="0.25">
      <c r="A17">
        <v>6</v>
      </c>
      <c r="B17">
        <v>12</v>
      </c>
      <c r="C17">
        <v>36</v>
      </c>
      <c r="D17">
        <v>50</v>
      </c>
      <c r="F17">
        <v>90</v>
      </c>
      <c r="G17" s="8">
        <v>40.6</v>
      </c>
      <c r="I17" s="9">
        <f t="shared" si="0"/>
        <v>12.613888888888889</v>
      </c>
      <c r="J17" s="9">
        <f t="shared" si="1"/>
        <v>90.676666666666662</v>
      </c>
    </row>
    <row r="18" spans="1:17" x14ac:dyDescent="0.25">
      <c r="G18" s="8"/>
    </row>
    <row r="19" spans="1:17" x14ac:dyDescent="0.25">
      <c r="A19" t="s">
        <v>40</v>
      </c>
      <c r="I19" s="10">
        <f>AVERAGE(I12:I17)</f>
        <v>12.54875</v>
      </c>
      <c r="J19" s="10">
        <f>AVERAGE(J12:J17)</f>
        <v>90.710555555555558</v>
      </c>
    </row>
    <row r="20" spans="1:17" x14ac:dyDescent="0.25">
      <c r="I20" s="10" t="s">
        <v>52</v>
      </c>
      <c r="J20" s="10">
        <v>-2.7</v>
      </c>
    </row>
    <row r="21" spans="1:17" x14ac:dyDescent="0.25">
      <c r="I21" s="10"/>
      <c r="J21" s="10">
        <f>+J19+J20</f>
        <v>88.010555555555555</v>
      </c>
    </row>
    <row r="22" spans="1:17" x14ac:dyDescent="0.25">
      <c r="I22" s="12">
        <f>ROUND(TRUNC(I19,0),0)</f>
        <v>12</v>
      </c>
      <c r="J22" s="12">
        <f>ROUND(TRUNC(J21,0),0)</f>
        <v>88</v>
      </c>
    </row>
    <row r="23" spans="1:17" x14ac:dyDescent="0.25">
      <c r="I23" s="10">
        <f>(+I19-I22)</f>
        <v>0.54875000000000007</v>
      </c>
      <c r="J23" s="11">
        <f>ROUND((MOD(J21,1)*60),5)</f>
        <v>0.63332999999999995</v>
      </c>
    </row>
    <row r="24" spans="1:17" x14ac:dyDescent="0.25">
      <c r="I24" s="11">
        <f>ROUND(MOD(I23,1)*60,1)</f>
        <v>32.9</v>
      </c>
      <c r="J24" s="12"/>
      <c r="M24" s="21" t="s">
        <v>37</v>
      </c>
      <c r="N24" s="21"/>
      <c r="P24" s="21" t="s">
        <v>53</v>
      </c>
    </row>
    <row r="25" spans="1:17" x14ac:dyDescent="0.25">
      <c r="I25" s="10"/>
      <c r="M25" s="5">
        <v>12.5</v>
      </c>
      <c r="P25">
        <f>-12.5*0.5332+97.401</f>
        <v>90.73599999999999</v>
      </c>
    </row>
    <row r="26" spans="1:17" x14ac:dyDescent="0.25">
      <c r="I26" t="s">
        <v>53</v>
      </c>
      <c r="L26">
        <v>12</v>
      </c>
      <c r="M26">
        <v>30</v>
      </c>
      <c r="O26">
        <v>90</v>
      </c>
      <c r="P26">
        <f>60*(P25-O26)</f>
        <v>44.1599999999994</v>
      </c>
      <c r="Q26">
        <f>+(P26-44)*60</f>
        <v>9.599999999963984</v>
      </c>
    </row>
    <row r="29" spans="1:17" x14ac:dyDescent="0.25">
      <c r="B29" t="s">
        <v>76</v>
      </c>
      <c r="G29" s="8"/>
      <c r="I29" s="9"/>
      <c r="J29" s="9"/>
    </row>
    <row r="30" spans="1:17" x14ac:dyDescent="0.25">
      <c r="G30" s="8"/>
      <c r="I30" s="9"/>
      <c r="J30" s="9"/>
    </row>
    <row r="31" spans="1:17" x14ac:dyDescent="0.25">
      <c r="K31" s="13"/>
      <c r="M31" s="13"/>
      <c r="Q31" s="14"/>
    </row>
  </sheetData>
  <mergeCells count="8">
    <mergeCell ref="B10:D10"/>
    <mergeCell ref="F10:G10"/>
    <mergeCell ref="B1:C1"/>
    <mergeCell ref="J5:L5"/>
    <mergeCell ref="J6:L6"/>
    <mergeCell ref="J7:L7"/>
    <mergeCell ref="B9:G9"/>
    <mergeCell ref="I9:J9"/>
  </mergeCells>
  <pageMargins left="0.7" right="0.7" top="0.75" bottom="0.75" header="0.3" footer="0.3"/>
  <pageSetup scale="62" orientation="landscape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9A2B6-D219-4764-A06F-0F27FAD2CB21}">
  <sheetPr codeName="Sheet10">
    <pageSetUpPr fitToPage="1"/>
  </sheetPr>
  <dimension ref="A1:Q31"/>
  <sheetViews>
    <sheetView topLeftCell="A22" workbookViewId="0">
      <selection activeCell="H28" sqref="H28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</cols>
  <sheetData>
    <row r="1" spans="1:12" x14ac:dyDescent="0.25">
      <c r="A1" t="s">
        <v>41</v>
      </c>
      <c r="B1" s="70">
        <v>43921</v>
      </c>
      <c r="C1" s="70"/>
    </row>
    <row r="2" spans="1:12" x14ac:dyDescent="0.25">
      <c r="A2" t="s">
        <v>42</v>
      </c>
      <c r="B2" t="s">
        <v>45</v>
      </c>
    </row>
    <row r="3" spans="1:12" x14ac:dyDescent="0.25">
      <c r="A3" t="s">
        <v>71</v>
      </c>
    </row>
    <row r="4" spans="1:12" x14ac:dyDescent="0.25">
      <c r="A4" t="s">
        <v>72</v>
      </c>
      <c r="B4">
        <v>44</v>
      </c>
    </row>
    <row r="5" spans="1:12" x14ac:dyDescent="0.25">
      <c r="A5" t="s">
        <v>73</v>
      </c>
      <c r="B5" s="22">
        <v>30</v>
      </c>
      <c r="J5" s="71" t="s">
        <v>50</v>
      </c>
      <c r="K5" s="71"/>
      <c r="L5" s="71"/>
    </row>
    <row r="6" spans="1:12" x14ac:dyDescent="0.25">
      <c r="A6" t="s">
        <v>74</v>
      </c>
      <c r="B6">
        <v>-2.7</v>
      </c>
      <c r="J6" s="70">
        <v>43921</v>
      </c>
      <c r="K6" s="71"/>
      <c r="L6" s="71"/>
    </row>
    <row r="7" spans="1:12" x14ac:dyDescent="0.25">
      <c r="J7" s="71" t="s">
        <v>75</v>
      </c>
      <c r="K7" s="71"/>
      <c r="L7" s="71"/>
    </row>
    <row r="9" spans="1:12" x14ac:dyDescent="0.25">
      <c r="B9" s="71" t="s">
        <v>28</v>
      </c>
      <c r="C9" s="71"/>
      <c r="D9" s="71"/>
      <c r="E9" s="71"/>
      <c r="F9" s="71"/>
      <c r="G9" s="71"/>
      <c r="I9" s="71" t="s">
        <v>29</v>
      </c>
      <c r="J9" s="71"/>
    </row>
    <row r="10" spans="1:12" x14ac:dyDescent="0.25">
      <c r="B10" s="71" t="s">
        <v>35</v>
      </c>
      <c r="C10" s="71"/>
      <c r="D10" s="71"/>
      <c r="E10" s="20"/>
      <c r="F10" s="71" t="s">
        <v>36</v>
      </c>
      <c r="G10" s="71"/>
      <c r="I10" s="20" t="s">
        <v>27</v>
      </c>
      <c r="J10" s="20" t="s">
        <v>38</v>
      </c>
    </row>
    <row r="11" spans="1:12" x14ac:dyDescent="0.25">
      <c r="A11" t="s">
        <v>43</v>
      </c>
      <c r="B11" s="20" t="s">
        <v>30</v>
      </c>
      <c r="C11" s="20" t="s">
        <v>31</v>
      </c>
      <c r="D11" s="20" t="s">
        <v>32</v>
      </c>
      <c r="F11" s="20" t="s">
        <v>33</v>
      </c>
      <c r="G11" s="20" t="s">
        <v>34</v>
      </c>
      <c r="I11" s="20" t="s">
        <v>37</v>
      </c>
      <c r="J11" s="20" t="s">
        <v>39</v>
      </c>
    </row>
    <row r="12" spans="1:12" x14ac:dyDescent="0.25">
      <c r="A12">
        <v>1</v>
      </c>
      <c r="B12">
        <v>18</v>
      </c>
      <c r="C12">
        <v>46</v>
      </c>
      <c r="F12">
        <v>82</v>
      </c>
      <c r="G12" s="8">
        <v>20</v>
      </c>
      <c r="I12" s="9">
        <f t="shared" ref="I12:I17" si="0">+B12+(C12/60)+(D12/3600)</f>
        <v>18.766666666666666</v>
      </c>
      <c r="J12" s="9">
        <f t="shared" ref="J12:J17" si="1">+F12+G12/60</f>
        <v>82.333333333333329</v>
      </c>
    </row>
    <row r="13" spans="1:12" x14ac:dyDescent="0.25">
      <c r="A13">
        <v>2</v>
      </c>
      <c r="B13">
        <v>18</v>
      </c>
      <c r="C13">
        <v>47</v>
      </c>
      <c r="F13">
        <v>82</v>
      </c>
      <c r="G13" s="8">
        <v>19.600000000000001</v>
      </c>
      <c r="I13" s="9">
        <f t="shared" si="0"/>
        <v>18.783333333333335</v>
      </c>
      <c r="J13" s="9">
        <f t="shared" si="1"/>
        <v>82.326666666666668</v>
      </c>
    </row>
    <row r="14" spans="1:12" x14ac:dyDescent="0.25">
      <c r="A14">
        <v>3</v>
      </c>
      <c r="B14">
        <v>18</v>
      </c>
      <c r="C14">
        <v>48</v>
      </c>
      <c r="F14">
        <v>82</v>
      </c>
      <c r="G14" s="8">
        <v>20</v>
      </c>
      <c r="I14" s="9">
        <f t="shared" si="0"/>
        <v>18.8</v>
      </c>
      <c r="J14" s="9">
        <f t="shared" si="1"/>
        <v>82.333333333333329</v>
      </c>
    </row>
    <row r="15" spans="1:12" x14ac:dyDescent="0.25">
      <c r="A15">
        <v>4</v>
      </c>
      <c r="B15">
        <v>18</v>
      </c>
      <c r="C15">
        <v>49</v>
      </c>
      <c r="F15">
        <v>82</v>
      </c>
      <c r="G15" s="8">
        <v>20.5</v>
      </c>
      <c r="I15" s="9">
        <f t="shared" si="0"/>
        <v>18.816666666666666</v>
      </c>
      <c r="J15" s="9">
        <f t="shared" si="1"/>
        <v>82.341666666666669</v>
      </c>
    </row>
    <row r="16" spans="1:12" x14ac:dyDescent="0.25">
      <c r="A16">
        <v>5</v>
      </c>
      <c r="B16">
        <v>18</v>
      </c>
      <c r="C16">
        <v>51</v>
      </c>
      <c r="F16">
        <v>82</v>
      </c>
      <c r="G16" s="8">
        <v>21</v>
      </c>
      <c r="I16" s="9">
        <f t="shared" si="0"/>
        <v>18.850000000000001</v>
      </c>
      <c r="J16" s="9">
        <f t="shared" si="1"/>
        <v>82.35</v>
      </c>
    </row>
    <row r="17" spans="1:17" x14ac:dyDescent="0.25">
      <c r="A17">
        <v>6</v>
      </c>
      <c r="B17">
        <v>18</v>
      </c>
      <c r="C17">
        <v>52</v>
      </c>
      <c r="F17">
        <v>82</v>
      </c>
      <c r="G17" s="8">
        <v>21.5</v>
      </c>
      <c r="I17" s="9">
        <f t="shared" si="0"/>
        <v>18.866666666666667</v>
      </c>
      <c r="J17" s="9">
        <f t="shared" si="1"/>
        <v>82.358333333333334</v>
      </c>
    </row>
    <row r="18" spans="1:17" x14ac:dyDescent="0.25">
      <c r="G18" s="8"/>
    </row>
    <row r="19" spans="1:17" x14ac:dyDescent="0.25">
      <c r="A19" t="s">
        <v>40</v>
      </c>
      <c r="I19" s="10">
        <f>AVERAGE(I12:I17)</f>
        <v>18.813888888888886</v>
      </c>
      <c r="J19" s="10">
        <f>AVERAGE(J12:J17)</f>
        <v>82.340555555555568</v>
      </c>
    </row>
    <row r="20" spans="1:17" x14ac:dyDescent="0.25">
      <c r="I20" s="10" t="s">
        <v>52</v>
      </c>
      <c r="J20" s="10"/>
    </row>
    <row r="21" spans="1:17" x14ac:dyDescent="0.25">
      <c r="I21" s="10"/>
      <c r="J21" s="10">
        <f>+J19+J20</f>
        <v>82.340555555555568</v>
      </c>
    </row>
    <row r="22" spans="1:17" x14ac:dyDescent="0.25">
      <c r="I22" s="12">
        <f>ROUND(TRUNC(I19,0),0)</f>
        <v>18</v>
      </c>
      <c r="J22" s="12">
        <f>ROUND(TRUNC(J21,0),0)</f>
        <v>82</v>
      </c>
    </row>
    <row r="23" spans="1:17" x14ac:dyDescent="0.25">
      <c r="I23" s="10">
        <f>(+I19-I22)</f>
        <v>0.81388888888888644</v>
      </c>
      <c r="J23" s="11">
        <f>ROUND((MOD(J21,1)*60),5)</f>
        <v>20.433330000000002</v>
      </c>
    </row>
    <row r="24" spans="1:17" x14ac:dyDescent="0.25">
      <c r="I24" s="11">
        <f>ROUND(MOD(I23,1)*60,1)</f>
        <v>48.8</v>
      </c>
      <c r="J24" s="12"/>
      <c r="M24" s="20" t="s">
        <v>37</v>
      </c>
      <c r="N24" s="20"/>
      <c r="P24" s="20" t="s">
        <v>53</v>
      </c>
    </row>
    <row r="25" spans="1:17" x14ac:dyDescent="0.25">
      <c r="I25" s="10"/>
      <c r="M25" s="5">
        <v>18.8</v>
      </c>
      <c r="P25">
        <f>18.8*0.2882+76.918</f>
        <v>82.336160000000007</v>
      </c>
    </row>
    <row r="26" spans="1:17" x14ac:dyDescent="0.25">
      <c r="I26" t="s">
        <v>53</v>
      </c>
      <c r="L26">
        <v>18</v>
      </c>
      <c r="M26">
        <f>60*0.8</f>
        <v>48</v>
      </c>
      <c r="O26">
        <v>82</v>
      </c>
      <c r="P26">
        <f>60*(P25-O26)</f>
        <v>20.169600000000401</v>
      </c>
      <c r="Q26">
        <f>+(P26-20)*60</f>
        <v>10.176000000024032</v>
      </c>
    </row>
    <row r="29" spans="1:17" x14ac:dyDescent="0.25">
      <c r="B29" t="s">
        <v>76</v>
      </c>
      <c r="G29" s="8"/>
      <c r="I29" s="9"/>
      <c r="J29" s="9"/>
    </row>
    <row r="30" spans="1:17" x14ac:dyDescent="0.25">
      <c r="G30" s="8"/>
      <c r="I30" s="9"/>
      <c r="J30" s="9"/>
    </row>
    <row r="31" spans="1:17" x14ac:dyDescent="0.25">
      <c r="K31" s="13"/>
      <c r="M31" s="13"/>
      <c r="Q31" s="14"/>
    </row>
  </sheetData>
  <mergeCells count="8">
    <mergeCell ref="B10:D10"/>
    <mergeCell ref="F10:G10"/>
    <mergeCell ref="B1:C1"/>
    <mergeCell ref="J5:L5"/>
    <mergeCell ref="J6:L6"/>
    <mergeCell ref="J7:L7"/>
    <mergeCell ref="B9:G9"/>
    <mergeCell ref="I9:J9"/>
  </mergeCells>
  <pageMargins left="0.7" right="0.7" top="0.75" bottom="0.75" header="0.3" footer="0.3"/>
  <pageSetup scale="62" orientation="landscape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15B13-DE83-4CBB-B8B3-3937E9D63A91}">
  <sheetPr codeName="Sheet5">
    <pageSetUpPr fitToPage="1"/>
  </sheetPr>
  <dimension ref="A1:Q30"/>
  <sheetViews>
    <sheetView topLeftCell="A13" workbookViewId="0">
      <selection activeCell="H31" sqref="H31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</cols>
  <sheetData>
    <row r="1" spans="1:12" x14ac:dyDescent="0.25">
      <c r="A1" t="s">
        <v>41</v>
      </c>
      <c r="B1" s="70">
        <v>43898</v>
      </c>
      <c r="C1" s="70"/>
    </row>
    <row r="2" spans="1:12" x14ac:dyDescent="0.25">
      <c r="A2" t="s">
        <v>42</v>
      </c>
      <c r="B2" t="s">
        <v>45</v>
      </c>
    </row>
    <row r="3" spans="1:12" x14ac:dyDescent="0.25">
      <c r="A3" t="s">
        <v>71</v>
      </c>
    </row>
    <row r="4" spans="1:12" x14ac:dyDescent="0.25">
      <c r="A4" t="s">
        <v>72</v>
      </c>
      <c r="B4">
        <v>48</v>
      </c>
    </row>
    <row r="5" spans="1:12" x14ac:dyDescent="0.25">
      <c r="A5" t="s">
        <v>73</v>
      </c>
      <c r="B5">
        <v>29.55</v>
      </c>
      <c r="J5" s="71" t="s">
        <v>50</v>
      </c>
      <c r="K5" s="71"/>
      <c r="L5" s="71"/>
    </row>
    <row r="6" spans="1:12" x14ac:dyDescent="0.25">
      <c r="A6" t="s">
        <v>74</v>
      </c>
      <c r="B6">
        <v>-2.7</v>
      </c>
      <c r="J6" s="70">
        <v>43898</v>
      </c>
      <c r="K6" s="71"/>
      <c r="L6" s="71"/>
    </row>
    <row r="7" spans="1:12" x14ac:dyDescent="0.25">
      <c r="J7" s="71" t="s">
        <v>75</v>
      </c>
      <c r="K7" s="71"/>
      <c r="L7" s="71"/>
    </row>
    <row r="9" spans="1:12" x14ac:dyDescent="0.25">
      <c r="B9" s="71" t="s">
        <v>28</v>
      </c>
      <c r="C9" s="71"/>
      <c r="D9" s="71"/>
      <c r="E9" s="71"/>
      <c r="F9" s="71"/>
      <c r="G9" s="71"/>
      <c r="I9" s="71" t="s">
        <v>29</v>
      </c>
      <c r="J9" s="71"/>
    </row>
    <row r="10" spans="1:12" x14ac:dyDescent="0.25">
      <c r="B10" s="71" t="s">
        <v>35</v>
      </c>
      <c r="C10" s="71"/>
      <c r="D10" s="71"/>
      <c r="E10" s="15"/>
      <c r="F10" s="71" t="s">
        <v>36</v>
      </c>
      <c r="G10" s="71"/>
      <c r="I10" s="15" t="s">
        <v>27</v>
      </c>
      <c r="J10" s="15" t="s">
        <v>38</v>
      </c>
    </row>
    <row r="11" spans="1:12" x14ac:dyDescent="0.25">
      <c r="A11" t="s">
        <v>43</v>
      </c>
      <c r="B11" s="15" t="s">
        <v>30</v>
      </c>
      <c r="C11" s="15" t="s">
        <v>31</v>
      </c>
      <c r="D11" s="15" t="s">
        <v>32</v>
      </c>
      <c r="F11" s="15" t="s">
        <v>33</v>
      </c>
      <c r="G11" s="15" t="s">
        <v>34</v>
      </c>
      <c r="I11" s="15" t="s">
        <v>37</v>
      </c>
      <c r="J11" s="15" t="s">
        <v>39</v>
      </c>
    </row>
    <row r="12" spans="1:12" x14ac:dyDescent="0.25">
      <c r="A12">
        <v>1</v>
      </c>
      <c r="B12">
        <v>23</v>
      </c>
      <c r="C12">
        <v>23</v>
      </c>
      <c r="D12">
        <v>9</v>
      </c>
      <c r="F12">
        <v>124</v>
      </c>
      <c r="G12" s="8">
        <v>3.3</v>
      </c>
      <c r="I12" s="9">
        <f>+B12+(C12/60)+(D12/3600)</f>
        <v>23.385833333333334</v>
      </c>
      <c r="J12" s="9">
        <f>+F12+G12/60</f>
        <v>124.05500000000001</v>
      </c>
    </row>
    <row r="13" spans="1:12" x14ac:dyDescent="0.25">
      <c r="A13">
        <v>2</v>
      </c>
      <c r="B13">
        <v>23</v>
      </c>
      <c r="C13">
        <v>25</v>
      </c>
      <c r="D13">
        <v>35</v>
      </c>
      <c r="F13">
        <v>124</v>
      </c>
      <c r="G13" s="8">
        <v>5.9</v>
      </c>
      <c r="I13" s="9">
        <f>+B13+(C13/60)+(D13/3600)</f>
        <v>23.426388888888891</v>
      </c>
      <c r="J13" s="9">
        <f>+F13+G13/60</f>
        <v>124.09833333333333</v>
      </c>
    </row>
    <row r="14" spans="1:12" x14ac:dyDescent="0.25">
      <c r="A14">
        <v>3</v>
      </c>
      <c r="B14">
        <v>23</v>
      </c>
      <c r="C14">
        <v>27</v>
      </c>
      <c r="D14">
        <v>58</v>
      </c>
      <c r="F14">
        <v>124</v>
      </c>
      <c r="G14" s="8">
        <v>7.4</v>
      </c>
      <c r="I14" s="9">
        <f>+B14+(C14/60)+(D14/3600)</f>
        <v>23.466111111111111</v>
      </c>
      <c r="J14" s="9">
        <f>+F14+G14/60</f>
        <v>124.12333333333333</v>
      </c>
    </row>
    <row r="15" spans="1:12" x14ac:dyDescent="0.25">
      <c r="A15">
        <v>5</v>
      </c>
      <c r="B15">
        <v>23</v>
      </c>
      <c r="C15">
        <v>31</v>
      </c>
      <c r="D15">
        <v>34</v>
      </c>
      <c r="F15">
        <v>124</v>
      </c>
      <c r="G15" s="8">
        <v>9.6999999999999993</v>
      </c>
      <c r="I15" s="9">
        <f>+B15+(C15/60)+(D15/3600)</f>
        <v>23.52611111111111</v>
      </c>
      <c r="J15" s="9">
        <f>+F15+G15/60</f>
        <v>124.16166666666666</v>
      </c>
    </row>
    <row r="16" spans="1:12" x14ac:dyDescent="0.25">
      <c r="A16">
        <v>6</v>
      </c>
      <c r="B16">
        <v>23</v>
      </c>
      <c r="C16">
        <v>33</v>
      </c>
      <c r="D16">
        <v>49</v>
      </c>
      <c r="F16">
        <v>124</v>
      </c>
      <c r="G16" s="8">
        <v>11.7</v>
      </c>
      <c r="I16" s="9">
        <f>+B16+(C16/60)+(D16/3600)</f>
        <v>23.563611111111111</v>
      </c>
      <c r="J16" s="9">
        <f>+F16+G16/60</f>
        <v>124.19499999999999</v>
      </c>
    </row>
    <row r="18" spans="1:17" x14ac:dyDescent="0.25">
      <c r="A18" t="s">
        <v>40</v>
      </c>
      <c r="I18" s="10">
        <f>AVERAGE(I12:I16)</f>
        <v>23.473611111111111</v>
      </c>
      <c r="J18" s="10">
        <f>AVERAGE(J12:J16)</f>
        <v>124.12666666666664</v>
      </c>
    </row>
    <row r="19" spans="1:17" x14ac:dyDescent="0.25">
      <c r="I19" s="10" t="s">
        <v>52</v>
      </c>
      <c r="J19" s="10"/>
    </row>
    <row r="20" spans="1:17" x14ac:dyDescent="0.25">
      <c r="I20" s="10"/>
      <c r="J20" s="10">
        <f>+J18+J19</f>
        <v>124.12666666666664</v>
      </c>
    </row>
    <row r="21" spans="1:17" x14ac:dyDescent="0.25">
      <c r="I21" s="12">
        <f>ROUND(TRUNC(I18,0),0)</f>
        <v>23</v>
      </c>
      <c r="J21" s="12">
        <f>ROUND(TRUNC(J20,0),0)</f>
        <v>124</v>
      </c>
    </row>
    <row r="22" spans="1:17" x14ac:dyDescent="0.25">
      <c r="I22" s="10">
        <f>(+I18-I21)</f>
        <v>0.47361111111111143</v>
      </c>
      <c r="J22" s="11">
        <f>ROUND((MOD(J20,1)*60),5)</f>
        <v>7.6</v>
      </c>
    </row>
    <row r="23" spans="1:17" x14ac:dyDescent="0.25">
      <c r="I23" s="11">
        <f>ROUND(MOD(I22,1)*60,1)</f>
        <v>28.4</v>
      </c>
      <c r="J23" s="12"/>
    </row>
    <row r="24" spans="1:17" x14ac:dyDescent="0.25">
      <c r="I24" s="10"/>
    </row>
    <row r="25" spans="1:17" x14ac:dyDescent="0.25">
      <c r="I25" t="s">
        <v>53</v>
      </c>
    </row>
    <row r="28" spans="1:17" x14ac:dyDescent="0.25">
      <c r="B28" t="s">
        <v>76</v>
      </c>
      <c r="G28" s="8"/>
      <c r="I28" s="9"/>
      <c r="J28" s="9"/>
    </row>
    <row r="29" spans="1:17" x14ac:dyDescent="0.25">
      <c r="A29">
        <v>4</v>
      </c>
      <c r="B29">
        <v>23</v>
      </c>
      <c r="C29">
        <v>30</v>
      </c>
      <c r="D29">
        <v>6</v>
      </c>
      <c r="F29">
        <v>124</v>
      </c>
      <c r="G29" s="8">
        <v>7.5</v>
      </c>
      <c r="I29" s="9">
        <f>+B29+(C29/60)+(D29/3600)</f>
        <v>23.501666666666665</v>
      </c>
      <c r="J29" s="9">
        <f>+F29+G29/60</f>
        <v>124.125</v>
      </c>
    </row>
    <row r="30" spans="1:17" x14ac:dyDescent="0.25">
      <c r="K30" s="13"/>
      <c r="M30" s="13"/>
      <c r="Q30" s="14"/>
    </row>
  </sheetData>
  <mergeCells count="8">
    <mergeCell ref="B10:D10"/>
    <mergeCell ref="F10:G10"/>
    <mergeCell ref="B1:C1"/>
    <mergeCell ref="J5:L5"/>
    <mergeCell ref="J6:L6"/>
    <mergeCell ref="J7:L7"/>
    <mergeCell ref="B9:G9"/>
    <mergeCell ref="I9:J9"/>
  </mergeCells>
  <pageMargins left="0.7" right="0.7" top="0.75" bottom="0.75" header="0.3" footer="0.3"/>
  <pageSetup scale="62" orientation="landscape" horizontalDpi="4294967293" vertic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5F14B-FC93-4AB0-A4B4-F43C1ECF401D}">
  <sheetPr codeName="Sheet6">
    <pageSetUpPr fitToPage="1"/>
  </sheetPr>
  <dimension ref="A1:Q30"/>
  <sheetViews>
    <sheetView topLeftCell="A10" workbookViewId="0">
      <selection activeCell="D25" sqref="D25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0" bestFit="1" customWidth="1"/>
  </cols>
  <sheetData>
    <row r="1" spans="1:12" x14ac:dyDescent="0.25">
      <c r="A1" t="s">
        <v>41</v>
      </c>
      <c r="B1" s="70">
        <v>43894</v>
      </c>
      <c r="C1" s="70"/>
    </row>
    <row r="2" spans="1:12" x14ac:dyDescent="0.25">
      <c r="A2" t="s">
        <v>42</v>
      </c>
      <c r="B2" t="s">
        <v>45</v>
      </c>
    </row>
    <row r="3" spans="1:12" x14ac:dyDescent="0.25">
      <c r="A3" t="s">
        <v>71</v>
      </c>
    </row>
    <row r="4" spans="1:12" x14ac:dyDescent="0.25">
      <c r="A4" t="s">
        <v>72</v>
      </c>
      <c r="B4">
        <v>44</v>
      </c>
    </row>
    <row r="5" spans="1:12" x14ac:dyDescent="0.25">
      <c r="A5" t="s">
        <v>73</v>
      </c>
      <c r="B5">
        <v>29.61</v>
      </c>
      <c r="J5" s="71" t="s">
        <v>50</v>
      </c>
      <c r="K5" s="71"/>
      <c r="L5" s="71"/>
    </row>
    <row r="6" spans="1:12" x14ac:dyDescent="0.25">
      <c r="A6" t="s">
        <v>74</v>
      </c>
      <c r="B6">
        <v>-2.7</v>
      </c>
      <c r="J6" s="70">
        <v>43894</v>
      </c>
      <c r="K6" s="71"/>
      <c r="L6" s="71"/>
    </row>
    <row r="7" spans="1:12" x14ac:dyDescent="0.25">
      <c r="J7" s="71" t="s">
        <v>75</v>
      </c>
      <c r="K7" s="71"/>
      <c r="L7" s="71"/>
    </row>
    <row r="9" spans="1:12" x14ac:dyDescent="0.25">
      <c r="B9" s="71" t="s">
        <v>28</v>
      </c>
      <c r="C9" s="71"/>
      <c r="D9" s="71"/>
      <c r="E9" s="71"/>
      <c r="F9" s="71"/>
      <c r="G9" s="71"/>
      <c r="I9" s="71" t="s">
        <v>29</v>
      </c>
      <c r="J9" s="71"/>
    </row>
    <row r="10" spans="1:12" x14ac:dyDescent="0.25">
      <c r="B10" s="71" t="s">
        <v>35</v>
      </c>
      <c r="C10" s="71"/>
      <c r="D10" s="71"/>
      <c r="E10" s="7"/>
      <c r="F10" s="71" t="s">
        <v>36</v>
      </c>
      <c r="G10" s="71"/>
      <c r="I10" s="7" t="s">
        <v>27</v>
      </c>
      <c r="J10" s="7" t="s">
        <v>38</v>
      </c>
    </row>
    <row r="11" spans="1:12" x14ac:dyDescent="0.25">
      <c r="A11" t="s">
        <v>43</v>
      </c>
      <c r="B11" s="7" t="s">
        <v>30</v>
      </c>
      <c r="C11" s="7" t="s">
        <v>31</v>
      </c>
      <c r="D11" s="7" t="s">
        <v>32</v>
      </c>
      <c r="F11" s="7" t="s">
        <v>33</v>
      </c>
      <c r="G11" s="7" t="s">
        <v>34</v>
      </c>
      <c r="I11" s="7" t="s">
        <v>37</v>
      </c>
      <c r="J11" s="7" t="s">
        <v>39</v>
      </c>
    </row>
    <row r="12" spans="1:12" x14ac:dyDescent="0.25">
      <c r="A12">
        <v>1</v>
      </c>
      <c r="B12">
        <v>22</v>
      </c>
      <c r="C12">
        <v>38</v>
      </c>
      <c r="D12">
        <v>9</v>
      </c>
      <c r="F12">
        <v>70</v>
      </c>
      <c r="G12" s="8">
        <v>22</v>
      </c>
      <c r="I12" s="9">
        <f>+B12+(C12/60)+(D12/3600)</f>
        <v>22.635833333333334</v>
      </c>
      <c r="J12" s="9">
        <f>+F12+G12/60</f>
        <v>70.36666666666666</v>
      </c>
    </row>
    <row r="13" spans="1:12" x14ac:dyDescent="0.25">
      <c r="A13">
        <v>2</v>
      </c>
      <c r="B13">
        <v>22</v>
      </c>
      <c r="C13">
        <v>40</v>
      </c>
      <c r="D13">
        <v>5</v>
      </c>
      <c r="F13">
        <v>70</v>
      </c>
      <c r="G13" s="8">
        <v>23.2</v>
      </c>
      <c r="I13" s="9">
        <f>+B13+(C13/60)+(D13/3600)</f>
        <v>22.668055555555558</v>
      </c>
      <c r="J13" s="9">
        <f>+F13+G13/60</f>
        <v>70.38666666666667</v>
      </c>
    </row>
    <row r="14" spans="1:12" x14ac:dyDescent="0.25">
      <c r="A14">
        <v>4</v>
      </c>
      <c r="B14">
        <v>22</v>
      </c>
      <c r="C14">
        <v>44</v>
      </c>
      <c r="D14">
        <v>50</v>
      </c>
      <c r="F14">
        <v>70</v>
      </c>
      <c r="G14" s="8">
        <v>24.1</v>
      </c>
      <c r="I14" s="9">
        <f>+B14+(C14/60)+(D14/3600)</f>
        <v>22.747222222222224</v>
      </c>
      <c r="J14" s="9">
        <f>+F14+G14/60</f>
        <v>70.401666666666671</v>
      </c>
    </row>
    <row r="15" spans="1:12" x14ac:dyDescent="0.25">
      <c r="A15">
        <v>5</v>
      </c>
      <c r="B15">
        <v>22</v>
      </c>
      <c r="C15">
        <v>47</v>
      </c>
      <c r="D15">
        <v>10</v>
      </c>
      <c r="F15">
        <v>70</v>
      </c>
      <c r="G15" s="8">
        <v>25</v>
      </c>
      <c r="I15" s="9">
        <f>+B15+(C15/60)+(D15/3600)</f>
        <v>22.786111111111111</v>
      </c>
      <c r="J15" s="9">
        <f>+F15+G15/60</f>
        <v>70.416666666666671</v>
      </c>
    </row>
    <row r="16" spans="1:12" x14ac:dyDescent="0.25">
      <c r="A16">
        <v>6</v>
      </c>
      <c r="B16">
        <v>22</v>
      </c>
      <c r="C16">
        <v>49</v>
      </c>
      <c r="D16">
        <v>11</v>
      </c>
      <c r="F16">
        <v>70</v>
      </c>
      <c r="G16" s="8">
        <v>25</v>
      </c>
      <c r="I16" s="9">
        <f>+B16+(C16/60)+(D16/3600)</f>
        <v>22.819722222222222</v>
      </c>
      <c r="J16" s="9">
        <f>+F16+G16/60</f>
        <v>70.416666666666671</v>
      </c>
    </row>
    <row r="18" spans="1:17" x14ac:dyDescent="0.25">
      <c r="A18" t="s">
        <v>40</v>
      </c>
      <c r="I18" s="10">
        <f>AVERAGE(I12:I16)</f>
        <v>22.73138888888889</v>
      </c>
      <c r="J18" s="10">
        <f>AVERAGE(J12:J16)</f>
        <v>70.397666666666666</v>
      </c>
    </row>
    <row r="19" spans="1:17" x14ac:dyDescent="0.25">
      <c r="I19" s="10" t="s">
        <v>52</v>
      </c>
      <c r="J19" s="10"/>
    </row>
    <row r="20" spans="1:17" x14ac:dyDescent="0.25">
      <c r="I20" s="10"/>
      <c r="J20" s="10">
        <f>+J18+J19</f>
        <v>70.397666666666666</v>
      </c>
    </row>
    <row r="21" spans="1:17" x14ac:dyDescent="0.25">
      <c r="I21" s="12">
        <f>ROUND(TRUNC(I18,0),0)</f>
        <v>22</v>
      </c>
      <c r="J21" s="12">
        <f>ROUND(TRUNC(J20,0),0)</f>
        <v>70</v>
      </c>
    </row>
    <row r="22" spans="1:17" x14ac:dyDescent="0.25">
      <c r="I22" s="10">
        <f>(+I18-I21)</f>
        <v>0.73138888888889042</v>
      </c>
      <c r="J22" s="11">
        <f>ROUND((MOD(J20,1)*60),5)</f>
        <v>23.86</v>
      </c>
    </row>
    <row r="23" spans="1:17" x14ac:dyDescent="0.25">
      <c r="I23" s="11">
        <f>ROUND(MOD(I22,1)*60,1)</f>
        <v>43.9</v>
      </c>
      <c r="J23" s="12"/>
    </row>
    <row r="24" spans="1:17" x14ac:dyDescent="0.25">
      <c r="I24" s="10"/>
    </row>
    <row r="25" spans="1:17" x14ac:dyDescent="0.25">
      <c r="I25" t="s">
        <v>53</v>
      </c>
    </row>
    <row r="28" spans="1:17" x14ac:dyDescent="0.25">
      <c r="B28" t="s">
        <v>76</v>
      </c>
      <c r="G28" s="8"/>
      <c r="I28" s="9"/>
      <c r="J28" s="9"/>
    </row>
    <row r="29" spans="1:17" x14ac:dyDescent="0.25">
      <c r="A29">
        <v>3</v>
      </c>
      <c r="B29">
        <v>22</v>
      </c>
      <c r="C29">
        <v>42</v>
      </c>
      <c r="D29">
        <v>25</v>
      </c>
      <c r="F29">
        <v>70</v>
      </c>
      <c r="G29">
        <v>22.5</v>
      </c>
      <c r="I29" s="5">
        <v>22.706944444444442</v>
      </c>
      <c r="J29" s="17">
        <v>70.375</v>
      </c>
    </row>
    <row r="30" spans="1:17" x14ac:dyDescent="0.25">
      <c r="K30" s="13"/>
      <c r="M30" s="13"/>
      <c r="Q30" s="14"/>
    </row>
  </sheetData>
  <mergeCells count="8">
    <mergeCell ref="B10:D10"/>
    <mergeCell ref="F10:G10"/>
    <mergeCell ref="B1:C1"/>
    <mergeCell ref="J5:L5"/>
    <mergeCell ref="J6:L6"/>
    <mergeCell ref="J7:L7"/>
    <mergeCell ref="B9:G9"/>
    <mergeCell ref="I9:J9"/>
  </mergeCells>
  <pageMargins left="0.7" right="0.7" top="0.75" bottom="0.75" header="0.3" footer="0.3"/>
  <pageSetup scale="62" orientation="landscape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BAD5B-7AA1-4D8F-822F-CAE34C3CC8D4}">
  <sheetPr codeName="Sheet7">
    <pageSetUpPr fitToPage="1"/>
  </sheetPr>
  <dimension ref="A1:Q31"/>
  <sheetViews>
    <sheetView topLeftCell="A10" workbookViewId="0">
      <selection activeCell="H28" sqref="H28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0" bestFit="1" customWidth="1"/>
  </cols>
  <sheetData>
    <row r="1" spans="1:12" x14ac:dyDescent="0.25">
      <c r="A1" t="s">
        <v>41</v>
      </c>
      <c r="B1" s="70">
        <v>43891</v>
      </c>
      <c r="C1" s="70"/>
    </row>
    <row r="2" spans="1:12" x14ac:dyDescent="0.25">
      <c r="A2" t="s">
        <v>42</v>
      </c>
      <c r="B2" t="s">
        <v>45</v>
      </c>
    </row>
    <row r="3" spans="1:12" x14ac:dyDescent="0.25">
      <c r="A3" t="s">
        <v>44</v>
      </c>
    </row>
    <row r="5" spans="1:12" x14ac:dyDescent="0.25">
      <c r="J5" s="71" t="s">
        <v>50</v>
      </c>
      <c r="K5" s="71"/>
      <c r="L5" s="71"/>
    </row>
    <row r="6" spans="1:12" x14ac:dyDescent="0.25">
      <c r="B6" t="s">
        <v>26</v>
      </c>
      <c r="J6" s="70">
        <v>43891</v>
      </c>
      <c r="K6" s="71"/>
      <c r="L6" s="71"/>
    </row>
    <row r="7" spans="1:12" x14ac:dyDescent="0.25">
      <c r="J7" s="71"/>
      <c r="K7" s="71"/>
      <c r="L7" s="71"/>
    </row>
    <row r="9" spans="1:12" x14ac:dyDescent="0.25">
      <c r="B9" s="71" t="s">
        <v>28</v>
      </c>
      <c r="C9" s="71"/>
      <c r="D9" s="71"/>
      <c r="E9" s="71"/>
      <c r="F9" s="71"/>
      <c r="G9" s="71"/>
      <c r="I9" s="71" t="s">
        <v>29</v>
      </c>
      <c r="J9" s="71"/>
    </row>
    <row r="10" spans="1:12" x14ac:dyDescent="0.25">
      <c r="B10" s="71" t="s">
        <v>35</v>
      </c>
      <c r="C10" s="71"/>
      <c r="D10" s="71"/>
      <c r="E10" s="7"/>
      <c r="F10" s="71" t="s">
        <v>36</v>
      </c>
      <c r="G10" s="71"/>
      <c r="I10" s="7" t="s">
        <v>27</v>
      </c>
      <c r="J10" s="7" t="s">
        <v>38</v>
      </c>
    </row>
    <row r="11" spans="1:12" x14ac:dyDescent="0.25">
      <c r="A11" t="s">
        <v>43</v>
      </c>
      <c r="B11" s="7" t="s">
        <v>30</v>
      </c>
      <c r="C11" s="7" t="s">
        <v>31</v>
      </c>
      <c r="D11" s="7" t="s">
        <v>32</v>
      </c>
      <c r="F11" s="7" t="s">
        <v>33</v>
      </c>
      <c r="G11" s="7" t="s">
        <v>34</v>
      </c>
      <c r="I11" s="7" t="s">
        <v>37</v>
      </c>
      <c r="J11" s="7" t="s">
        <v>39</v>
      </c>
    </row>
    <row r="12" spans="1:12" x14ac:dyDescent="0.25">
      <c r="A12">
        <v>1</v>
      </c>
      <c r="B12">
        <v>18</v>
      </c>
      <c r="C12">
        <v>7</v>
      </c>
      <c r="D12">
        <v>8</v>
      </c>
      <c r="F12">
        <v>77</v>
      </c>
      <c r="G12" s="8">
        <v>44</v>
      </c>
      <c r="I12" s="9">
        <f t="shared" ref="I12:I17" si="0">+B12+(C12/60)+(D12/3600)</f>
        <v>18.11888888888889</v>
      </c>
      <c r="J12" s="9">
        <f t="shared" ref="J12:J17" si="1">+F12+G12/60</f>
        <v>77.733333333333334</v>
      </c>
    </row>
    <row r="13" spans="1:12" x14ac:dyDescent="0.25">
      <c r="A13">
        <v>2</v>
      </c>
      <c r="B13">
        <v>18</v>
      </c>
      <c r="C13">
        <v>9</v>
      </c>
      <c r="D13">
        <v>34</v>
      </c>
      <c r="F13">
        <v>77</v>
      </c>
      <c r="G13" s="8">
        <v>44.9</v>
      </c>
      <c r="I13" s="9">
        <f t="shared" si="0"/>
        <v>18.159444444444443</v>
      </c>
      <c r="J13" s="9">
        <f t="shared" si="1"/>
        <v>77.748333333333335</v>
      </c>
    </row>
    <row r="14" spans="1:12" x14ac:dyDescent="0.25">
      <c r="A14">
        <v>3</v>
      </c>
      <c r="B14">
        <v>18</v>
      </c>
      <c r="C14">
        <v>15</v>
      </c>
      <c r="D14">
        <v>31</v>
      </c>
      <c r="F14">
        <v>77</v>
      </c>
      <c r="G14" s="8">
        <v>47</v>
      </c>
      <c r="I14" s="9">
        <f t="shared" si="0"/>
        <v>18.258611111111112</v>
      </c>
      <c r="J14" s="9">
        <f t="shared" si="1"/>
        <v>77.783333333333331</v>
      </c>
    </row>
    <row r="15" spans="1:12" x14ac:dyDescent="0.25">
      <c r="A15">
        <v>4</v>
      </c>
      <c r="B15">
        <v>18</v>
      </c>
      <c r="C15">
        <v>16</v>
      </c>
      <c r="D15">
        <v>59</v>
      </c>
      <c r="F15">
        <v>77</v>
      </c>
      <c r="G15" s="8">
        <v>47.2</v>
      </c>
      <c r="I15" s="9">
        <f t="shared" si="0"/>
        <v>18.283055555555556</v>
      </c>
      <c r="J15" s="9">
        <f t="shared" si="1"/>
        <v>77.786666666666662</v>
      </c>
    </row>
    <row r="16" spans="1:12" x14ac:dyDescent="0.25">
      <c r="A16">
        <v>5</v>
      </c>
      <c r="B16">
        <v>18</v>
      </c>
      <c r="C16">
        <v>19</v>
      </c>
      <c r="D16">
        <v>42</v>
      </c>
      <c r="F16">
        <v>77</v>
      </c>
      <c r="G16" s="8">
        <v>48.4</v>
      </c>
      <c r="I16" s="9">
        <f t="shared" si="0"/>
        <v>18.328333333333333</v>
      </c>
      <c r="J16" s="9">
        <f t="shared" si="1"/>
        <v>77.806666666666672</v>
      </c>
    </row>
    <row r="17" spans="1:17" x14ac:dyDescent="0.25">
      <c r="A17">
        <v>6</v>
      </c>
      <c r="B17">
        <v>18</v>
      </c>
      <c r="C17">
        <v>22</v>
      </c>
      <c r="D17">
        <v>14</v>
      </c>
      <c r="F17">
        <v>77</v>
      </c>
      <c r="G17" s="8">
        <v>48.8</v>
      </c>
      <c r="I17" s="9">
        <f t="shared" si="0"/>
        <v>18.370555555555555</v>
      </c>
      <c r="J17" s="9">
        <f t="shared" si="1"/>
        <v>77.813333333333333</v>
      </c>
    </row>
    <row r="19" spans="1:17" x14ac:dyDescent="0.25">
      <c r="A19" t="s">
        <v>40</v>
      </c>
      <c r="I19" s="10">
        <f>AVERAGE(I12:I17)</f>
        <v>18.253148148148146</v>
      </c>
      <c r="J19" s="10">
        <f>AVERAGE(J12:J17)</f>
        <v>77.778611111111118</v>
      </c>
    </row>
    <row r="20" spans="1:17" x14ac:dyDescent="0.25">
      <c r="I20" s="10" t="s">
        <v>52</v>
      </c>
      <c r="J20" s="10">
        <f>-2.7/60</f>
        <v>-4.5000000000000005E-2</v>
      </c>
    </row>
    <row r="21" spans="1:17" x14ac:dyDescent="0.25">
      <c r="I21" s="10"/>
      <c r="J21" s="10">
        <f>+J19+J20</f>
        <v>77.733611111111117</v>
      </c>
    </row>
    <row r="22" spans="1:17" x14ac:dyDescent="0.25">
      <c r="I22" s="12">
        <f>ROUND(TRUNC(I19,0),0)</f>
        <v>18</v>
      </c>
      <c r="J22" s="12">
        <f>ROUND(TRUNC(J21,0),0)</f>
        <v>77</v>
      </c>
    </row>
    <row r="23" spans="1:17" x14ac:dyDescent="0.25">
      <c r="I23" s="12">
        <f>ROUND((MOD(I19,1)*60),5)</f>
        <v>15.188890000000001</v>
      </c>
      <c r="J23" s="11">
        <f>ROUND((MOD(J21,1)*60),5)</f>
        <v>44.016669999999998</v>
      </c>
    </row>
    <row r="24" spans="1:17" x14ac:dyDescent="0.25">
      <c r="I24" s="12">
        <f>ROUND(MOD(I23,1)*60,1)</f>
        <v>11.3</v>
      </c>
      <c r="J24" s="12"/>
    </row>
    <row r="25" spans="1:17" x14ac:dyDescent="0.25">
      <c r="I25" s="10"/>
    </row>
    <row r="26" spans="1:17" x14ac:dyDescent="0.25">
      <c r="I26" t="s">
        <v>53</v>
      </c>
    </row>
    <row r="29" spans="1:17" x14ac:dyDescent="0.25">
      <c r="G29" s="8"/>
      <c r="I29" s="9"/>
      <c r="J29" s="9"/>
    </row>
    <row r="31" spans="1:17" x14ac:dyDescent="0.25">
      <c r="K31" s="13" t="s">
        <v>46</v>
      </c>
      <c r="L31">
        <v>18.25</v>
      </c>
      <c r="M31" s="13" t="s">
        <v>47</v>
      </c>
      <c r="N31">
        <f>0.3258*18.25+71.831</f>
        <v>77.776849999999996</v>
      </c>
      <c r="O31" t="s">
        <v>48</v>
      </c>
      <c r="P31">
        <v>77</v>
      </c>
      <c r="Q31" s="14">
        <f>0.77885*60</f>
        <v>46.731000000000002</v>
      </c>
    </row>
  </sheetData>
  <mergeCells count="8">
    <mergeCell ref="B10:D10"/>
    <mergeCell ref="F10:G10"/>
    <mergeCell ref="B1:C1"/>
    <mergeCell ref="J5:L5"/>
    <mergeCell ref="J6:L6"/>
    <mergeCell ref="J7:L7"/>
    <mergeCell ref="B9:G9"/>
    <mergeCell ref="I9:J9"/>
  </mergeCells>
  <pageMargins left="0.7" right="0.7" top="0.75" bottom="0.75" header="0.3" footer="0.3"/>
  <pageSetup scale="73" orientation="landscape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6930A-D3CE-4D12-8423-B1CED8AC80AE}">
  <sheetPr codeName="Sheet8">
    <pageSetUpPr fitToPage="1"/>
  </sheetPr>
  <dimension ref="A1:Q27"/>
  <sheetViews>
    <sheetView topLeftCell="A10" workbookViewId="0">
      <selection activeCell="H28" sqref="H28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0" bestFit="1" customWidth="1"/>
  </cols>
  <sheetData>
    <row r="1" spans="1:12" x14ac:dyDescent="0.25">
      <c r="A1" t="s">
        <v>41</v>
      </c>
      <c r="B1" s="70">
        <v>43861</v>
      </c>
      <c r="C1" s="70"/>
    </row>
    <row r="2" spans="1:12" x14ac:dyDescent="0.25">
      <c r="A2" t="s">
        <v>42</v>
      </c>
      <c r="B2" t="s">
        <v>45</v>
      </c>
    </row>
    <row r="3" spans="1:12" x14ac:dyDescent="0.25">
      <c r="A3" t="s">
        <v>44</v>
      </c>
    </row>
    <row r="5" spans="1:12" x14ac:dyDescent="0.25">
      <c r="J5" s="71" t="s">
        <v>50</v>
      </c>
      <c r="K5" s="71"/>
      <c r="L5" s="71"/>
    </row>
    <row r="6" spans="1:12" x14ac:dyDescent="0.25">
      <c r="B6" t="s">
        <v>26</v>
      </c>
      <c r="J6" s="70">
        <v>43861</v>
      </c>
      <c r="K6" s="71"/>
      <c r="L6" s="71"/>
    </row>
    <row r="7" spans="1:12" x14ac:dyDescent="0.25">
      <c r="J7" s="71" t="s">
        <v>51</v>
      </c>
      <c r="K7" s="71"/>
      <c r="L7" s="71"/>
    </row>
    <row r="9" spans="1:12" x14ac:dyDescent="0.25">
      <c r="B9" s="71" t="s">
        <v>28</v>
      </c>
      <c r="C9" s="71"/>
      <c r="D9" s="71"/>
      <c r="E9" s="71"/>
      <c r="F9" s="71"/>
      <c r="G9" s="71"/>
      <c r="I9" s="71" t="s">
        <v>29</v>
      </c>
      <c r="J9" s="71"/>
    </row>
    <row r="10" spans="1:12" x14ac:dyDescent="0.25">
      <c r="B10" s="71" t="s">
        <v>35</v>
      </c>
      <c r="C10" s="71"/>
      <c r="D10" s="71"/>
      <c r="E10" s="6"/>
      <c r="F10" s="71" t="s">
        <v>36</v>
      </c>
      <c r="G10" s="71"/>
      <c r="I10" s="6" t="s">
        <v>27</v>
      </c>
      <c r="J10" s="6" t="s">
        <v>38</v>
      </c>
    </row>
    <row r="11" spans="1:12" x14ac:dyDescent="0.25">
      <c r="A11" t="s">
        <v>43</v>
      </c>
      <c r="B11" s="6" t="s">
        <v>30</v>
      </c>
      <c r="C11" s="6" t="s">
        <v>31</v>
      </c>
      <c r="D11" s="6" t="s">
        <v>32</v>
      </c>
      <c r="F11" s="6" t="s">
        <v>33</v>
      </c>
      <c r="G11" s="6" t="s">
        <v>34</v>
      </c>
      <c r="I11" s="6" t="s">
        <v>37</v>
      </c>
      <c r="J11" s="6" t="s">
        <v>39</v>
      </c>
    </row>
    <row r="12" spans="1:12" x14ac:dyDescent="0.25">
      <c r="A12">
        <v>1</v>
      </c>
      <c r="B12">
        <v>17</v>
      </c>
      <c r="C12">
        <v>16</v>
      </c>
      <c r="D12">
        <v>35</v>
      </c>
      <c r="F12">
        <v>75</v>
      </c>
      <c r="G12" s="8">
        <v>3.9</v>
      </c>
      <c r="I12" s="9">
        <f>+B12+(C12/60)+(D12/3600)</f>
        <v>17.276388888888889</v>
      </c>
      <c r="J12" s="9">
        <f>+F12+G12/60</f>
        <v>75.064999999999998</v>
      </c>
    </row>
    <row r="13" spans="1:12" x14ac:dyDescent="0.25">
      <c r="A13">
        <v>2</v>
      </c>
      <c r="B13">
        <v>17</v>
      </c>
      <c r="C13">
        <v>29</v>
      </c>
      <c r="D13">
        <v>11</v>
      </c>
      <c r="F13">
        <v>75</v>
      </c>
      <c r="G13" s="8">
        <v>8.9</v>
      </c>
      <c r="I13" s="9">
        <f>+B13+(C13/60)+(D13/3600)</f>
        <v>17.486388888888889</v>
      </c>
      <c r="J13" s="9">
        <f>+F13+G13/60</f>
        <v>75.148333333333326</v>
      </c>
    </row>
    <row r="14" spans="1:12" x14ac:dyDescent="0.25">
      <c r="A14">
        <v>3</v>
      </c>
      <c r="B14">
        <v>17</v>
      </c>
      <c r="C14">
        <v>39</v>
      </c>
      <c r="D14">
        <v>30</v>
      </c>
      <c r="F14">
        <v>75</v>
      </c>
      <c r="G14" s="8">
        <v>12.8</v>
      </c>
      <c r="I14" s="9">
        <f>+B14+(C14/60)+(D14/3600)</f>
        <v>17.658333333333331</v>
      </c>
      <c r="J14" s="9">
        <f>+F14+G14/60</f>
        <v>75.213333333333338</v>
      </c>
    </row>
    <row r="15" spans="1:12" x14ac:dyDescent="0.25">
      <c r="A15">
        <v>5</v>
      </c>
      <c r="B15">
        <v>17</v>
      </c>
      <c r="C15">
        <v>44</v>
      </c>
      <c r="D15">
        <v>12</v>
      </c>
      <c r="F15">
        <v>75</v>
      </c>
      <c r="G15" s="8">
        <v>15</v>
      </c>
      <c r="I15" s="9">
        <f>+B15+(C15/60)+(D15/3600)</f>
        <v>17.736666666666668</v>
      </c>
      <c r="J15" s="9">
        <f>+F15+G15/60</f>
        <v>75.25</v>
      </c>
    </row>
    <row r="17" spans="1:17" x14ac:dyDescent="0.25">
      <c r="A17" t="s">
        <v>40</v>
      </c>
      <c r="I17" s="10">
        <f>AVERAGE(I12:I15)</f>
        <v>17.539444444444445</v>
      </c>
      <c r="J17" s="10">
        <f>AVERAGE(J12:J15)</f>
        <v>75.169166666666655</v>
      </c>
    </row>
    <row r="18" spans="1:17" x14ac:dyDescent="0.25">
      <c r="I18" s="12">
        <f>ROUND(TRUNC(I17,0),0)</f>
        <v>17</v>
      </c>
      <c r="J18" s="12">
        <f>ROUND(TRUNC(J17,0),0)</f>
        <v>75</v>
      </c>
    </row>
    <row r="19" spans="1:17" x14ac:dyDescent="0.25">
      <c r="I19" s="12">
        <f>ROUND((MOD(I17,1)*60),5)</f>
        <v>32.366669999999999</v>
      </c>
      <c r="J19" s="11">
        <f>ROUND((MOD(J17,1)*60),5)</f>
        <v>10.15</v>
      </c>
    </row>
    <row r="20" spans="1:17" x14ac:dyDescent="0.25">
      <c r="I20" s="12">
        <f>ROUND(MOD(I19,1)*60,1)</f>
        <v>22</v>
      </c>
      <c r="J20" s="12"/>
    </row>
    <row r="21" spans="1:17" x14ac:dyDescent="0.25">
      <c r="I21" s="10"/>
    </row>
    <row r="24" spans="1:17" x14ac:dyDescent="0.25">
      <c r="A24" t="s">
        <v>49</v>
      </c>
    </row>
    <row r="25" spans="1:17" x14ac:dyDescent="0.25">
      <c r="A25">
        <v>4</v>
      </c>
      <c r="B25">
        <v>17</v>
      </c>
      <c r="C25">
        <v>41</v>
      </c>
      <c r="D25">
        <v>13</v>
      </c>
      <c r="F25">
        <v>75</v>
      </c>
      <c r="G25" s="8">
        <v>12.7</v>
      </c>
      <c r="I25" s="9">
        <f>+B25+(C25/60)+(D25/3600)</f>
        <v>17.686944444444446</v>
      </c>
      <c r="J25" s="9">
        <f>+F25+G25/60</f>
        <v>75.211666666666673</v>
      </c>
    </row>
    <row r="27" spans="1:17" x14ac:dyDescent="0.25">
      <c r="K27" s="13" t="s">
        <v>46</v>
      </c>
      <c r="L27">
        <v>17.5</v>
      </c>
      <c r="M27" s="13" t="s">
        <v>47</v>
      </c>
      <c r="N27">
        <f>0.3975*17.5+68.198</f>
        <v>75.15424999999999</v>
      </c>
      <c r="O27" t="s">
        <v>48</v>
      </c>
      <c r="P27">
        <v>75</v>
      </c>
      <c r="Q27" s="14">
        <f>0.15425*60</f>
        <v>9.254999999999999</v>
      </c>
    </row>
  </sheetData>
  <mergeCells count="8">
    <mergeCell ref="B10:D10"/>
    <mergeCell ref="F10:G10"/>
    <mergeCell ref="I9:J9"/>
    <mergeCell ref="B1:C1"/>
    <mergeCell ref="J5:L5"/>
    <mergeCell ref="J6:L6"/>
    <mergeCell ref="J7:L7"/>
    <mergeCell ref="B9:G9"/>
  </mergeCells>
  <pageMargins left="0.7" right="0.7" top="0.75" bottom="0.75" header="0.3" footer="0.3"/>
  <pageSetup scale="73" orientation="landscape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52A75-7D37-4482-9F68-912549EC258E}">
  <sheetPr codeName="Sheet9">
    <pageSetUpPr fitToPage="1"/>
  </sheetPr>
  <dimension ref="A2:M27"/>
  <sheetViews>
    <sheetView topLeftCell="A10" workbookViewId="0">
      <selection activeCell="H28" sqref="H28"/>
    </sheetView>
  </sheetViews>
  <sheetFormatPr defaultRowHeight="15" x14ac:dyDescent="0.25"/>
  <cols>
    <col min="1" max="1" width="20.42578125" customWidth="1"/>
    <col min="3" max="3" width="18.140625" bestFit="1" customWidth="1"/>
  </cols>
  <sheetData>
    <row r="2" spans="1:13" ht="15.75" x14ac:dyDescent="0.25">
      <c r="G2" s="73" t="s">
        <v>23</v>
      </c>
      <c r="H2" s="73"/>
      <c r="I2" s="73"/>
      <c r="J2" s="73"/>
      <c r="K2" s="73"/>
      <c r="L2" s="73"/>
      <c r="M2" s="73"/>
    </row>
    <row r="3" spans="1:13" ht="15.75" x14ac:dyDescent="0.25">
      <c r="G3" s="73" t="s">
        <v>24</v>
      </c>
      <c r="H3" s="73"/>
      <c r="I3" s="73"/>
      <c r="J3" s="73"/>
      <c r="K3" s="73"/>
      <c r="L3" s="73"/>
      <c r="M3" s="73"/>
    </row>
    <row r="5" spans="1:13" x14ac:dyDescent="0.25">
      <c r="A5">
        <v>2200</v>
      </c>
      <c r="B5" t="s">
        <v>22</v>
      </c>
    </row>
    <row r="6" spans="1:13" x14ac:dyDescent="0.25">
      <c r="A6" t="s">
        <v>4</v>
      </c>
      <c r="B6" t="s">
        <v>5</v>
      </c>
    </row>
    <row r="7" spans="1:13" x14ac:dyDescent="0.25">
      <c r="A7">
        <v>180</v>
      </c>
      <c r="B7">
        <v>36.200000000000003</v>
      </c>
    </row>
    <row r="8" spans="1:13" x14ac:dyDescent="0.25">
      <c r="A8">
        <v>306</v>
      </c>
      <c r="B8">
        <v>36.5</v>
      </c>
    </row>
    <row r="9" spans="1:13" x14ac:dyDescent="0.25">
      <c r="A9">
        <v>474</v>
      </c>
      <c r="B9">
        <v>37.799999999999997</v>
      </c>
    </row>
    <row r="10" spans="1:13" x14ac:dyDescent="0.25">
      <c r="A10">
        <v>702</v>
      </c>
      <c r="B10">
        <v>38.799999999999997</v>
      </c>
    </row>
    <row r="11" spans="1:13" x14ac:dyDescent="0.25">
      <c r="A11">
        <v>974</v>
      </c>
      <c r="B11">
        <v>40.5</v>
      </c>
    </row>
    <row r="12" spans="1:13" ht="15.75" thickBot="1" x14ac:dyDescent="0.3"/>
    <row r="13" spans="1:13" x14ac:dyDescent="0.25">
      <c r="A13" s="4" t="s">
        <v>5</v>
      </c>
      <c r="B13" s="4"/>
    </row>
    <row r="14" spans="1:13" hidden="1" x14ac:dyDescent="0.25">
      <c r="A14" s="2"/>
      <c r="B14" s="2"/>
    </row>
    <row r="15" spans="1:13" x14ac:dyDescent="0.25">
      <c r="A15" s="2" t="s">
        <v>6</v>
      </c>
      <c r="B15" s="2">
        <v>37.96</v>
      </c>
      <c r="H15" t="s">
        <v>9</v>
      </c>
    </row>
    <row r="16" spans="1:13" x14ac:dyDescent="0.25">
      <c r="A16" s="2" t="s">
        <v>7</v>
      </c>
      <c r="B16" s="2">
        <v>0.78778169564924472</v>
      </c>
    </row>
    <row r="17" spans="1:9" x14ac:dyDescent="0.25">
      <c r="A17" s="2" t="s">
        <v>8</v>
      </c>
      <c r="B17" s="2">
        <v>37.799999999999997</v>
      </c>
    </row>
    <row r="18" spans="1:9" x14ac:dyDescent="0.25">
      <c r="A18" s="2" t="s">
        <v>10</v>
      </c>
      <c r="B18" s="2" t="e">
        <v>#N/A</v>
      </c>
    </row>
    <row r="19" spans="1:9" x14ac:dyDescent="0.25">
      <c r="A19" s="2" t="s">
        <v>11</v>
      </c>
      <c r="B19" s="2">
        <v>1.7615334229017616</v>
      </c>
    </row>
    <row r="20" spans="1:9" x14ac:dyDescent="0.25">
      <c r="A20" s="2" t="s">
        <v>12</v>
      </c>
      <c r="B20" s="2">
        <v>3.1029999999999966</v>
      </c>
    </row>
    <row r="21" spans="1:9" x14ac:dyDescent="0.25">
      <c r="A21" s="2" t="s">
        <v>13</v>
      </c>
      <c r="B21" s="2">
        <v>-0.69617844072804047</v>
      </c>
    </row>
    <row r="22" spans="1:9" x14ac:dyDescent="0.25">
      <c r="A22" s="2" t="s">
        <v>14</v>
      </c>
      <c r="B22" s="2">
        <v>0.64121395872741205</v>
      </c>
    </row>
    <row r="23" spans="1:9" x14ac:dyDescent="0.25">
      <c r="A23" s="2" t="s">
        <v>15</v>
      </c>
      <c r="B23" s="2">
        <v>4.2999999999999972</v>
      </c>
    </row>
    <row r="24" spans="1:9" x14ac:dyDescent="0.25">
      <c r="A24" s="2" t="s">
        <v>16</v>
      </c>
      <c r="B24" s="2">
        <v>36.200000000000003</v>
      </c>
    </row>
    <row r="25" spans="1:9" x14ac:dyDescent="0.25">
      <c r="A25" s="2" t="s">
        <v>17</v>
      </c>
      <c r="B25" s="2">
        <v>40.5</v>
      </c>
    </row>
    <row r="26" spans="1:9" x14ac:dyDescent="0.25">
      <c r="A26" s="2" t="s">
        <v>18</v>
      </c>
      <c r="B26" s="2">
        <v>189.8</v>
      </c>
    </row>
    <row r="27" spans="1:9" ht="15.75" thickBot="1" x14ac:dyDescent="0.3">
      <c r="A27" s="3" t="s">
        <v>19</v>
      </c>
      <c r="B27" s="3">
        <v>5</v>
      </c>
      <c r="H27" s="5">
        <f>600*0.0055+35.047</f>
        <v>38.346999999999994</v>
      </c>
      <c r="I27" t="s">
        <v>25</v>
      </c>
    </row>
  </sheetData>
  <mergeCells count="2">
    <mergeCell ref="G2:M2"/>
    <mergeCell ref="G3:M3"/>
  </mergeCells>
  <hyperlinks>
    <hyperlink ref="G2" r:id="rId1" display="https://www.google.com/search?q=wingaersheek+beach+cape+ann&amp;spell=1&amp;sa=X&amp;ved=2ahUKEwithsiwpPrmAhXP1FkKHe2ZBQkQkeECKAB6BAgOECY" xr:uid="{4E4EB08F-EE32-45EB-8C23-BB5FA2F2B2FC}"/>
  </hyperlinks>
  <pageMargins left="0.7" right="0.7" top="0.75" bottom="0.75" header="0.3" footer="0.3"/>
  <pageSetup scale="82" orientation="landscape" horizontalDpi="4294967293" vertic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16FB9-B17E-4982-8CF7-AE2EC23149A1}">
  <sheetPr codeName="Sheet1"/>
  <dimension ref="A3:D29"/>
  <sheetViews>
    <sheetView topLeftCell="A4" workbookViewId="0">
      <selection activeCell="E22" sqref="E22"/>
    </sheetView>
  </sheetViews>
  <sheetFormatPr defaultRowHeight="15" x14ac:dyDescent="0.25"/>
  <cols>
    <col min="2" max="2" width="12" customWidth="1"/>
    <col min="3" max="3" width="8.5703125" customWidth="1"/>
    <col min="4" max="4" width="8.28515625" customWidth="1"/>
  </cols>
  <sheetData>
    <row r="3" spans="1:4" x14ac:dyDescent="0.25">
      <c r="D3" s="59"/>
    </row>
    <row r="4" spans="1:4" x14ac:dyDescent="0.25">
      <c r="D4" s="59"/>
    </row>
    <row r="5" spans="1:4" x14ac:dyDescent="0.25">
      <c r="D5" s="59"/>
    </row>
    <row r="6" spans="1:4" x14ac:dyDescent="0.25">
      <c r="A6" t="s">
        <v>86</v>
      </c>
      <c r="B6" s="56" t="s">
        <v>87</v>
      </c>
      <c r="C6" s="54" t="s">
        <v>85</v>
      </c>
      <c r="D6" s="60" t="s">
        <v>52</v>
      </c>
    </row>
    <row r="7" spans="1:4" x14ac:dyDescent="0.25">
      <c r="A7">
        <v>1</v>
      </c>
      <c r="B7" s="56">
        <v>44089</v>
      </c>
      <c r="C7" s="59">
        <v>2.7</v>
      </c>
      <c r="D7" s="59">
        <v>-2.7</v>
      </c>
    </row>
    <row r="8" spans="1:4" x14ac:dyDescent="0.25">
      <c r="A8">
        <v>2</v>
      </c>
      <c r="B8" s="55">
        <v>44112</v>
      </c>
      <c r="C8" s="59">
        <v>2.9</v>
      </c>
      <c r="D8" s="59">
        <v>-2.9</v>
      </c>
    </row>
    <row r="9" spans="1:4" x14ac:dyDescent="0.25">
      <c r="A9">
        <v>3</v>
      </c>
      <c r="B9" s="55">
        <v>44118</v>
      </c>
      <c r="C9" s="59">
        <v>2.6</v>
      </c>
      <c r="D9" s="59">
        <v>-2.6</v>
      </c>
    </row>
    <row r="10" spans="1:4" x14ac:dyDescent="0.25">
      <c r="A10">
        <v>4</v>
      </c>
      <c r="B10" s="55">
        <v>44126</v>
      </c>
      <c r="C10" s="59">
        <v>2.8</v>
      </c>
      <c r="D10" s="59">
        <v>-2.8</v>
      </c>
    </row>
    <row r="11" spans="1:4" x14ac:dyDescent="0.25">
      <c r="A11">
        <v>5</v>
      </c>
      <c r="B11" s="55">
        <v>44144</v>
      </c>
      <c r="C11" s="59">
        <v>2.6</v>
      </c>
      <c r="D11" s="59">
        <v>-2.6</v>
      </c>
    </row>
    <row r="12" spans="1:4" x14ac:dyDescent="0.25">
      <c r="A12">
        <v>6</v>
      </c>
      <c r="B12" s="55">
        <v>44156</v>
      </c>
      <c r="C12" s="59">
        <v>2.5</v>
      </c>
      <c r="D12" s="59">
        <v>-2.5</v>
      </c>
    </row>
    <row r="13" spans="1:4" x14ac:dyDescent="0.25">
      <c r="A13">
        <v>7</v>
      </c>
      <c r="B13" s="55">
        <v>44630</v>
      </c>
      <c r="C13" s="59">
        <v>2.8</v>
      </c>
      <c r="D13" s="59">
        <v>-2.8</v>
      </c>
    </row>
    <row r="14" spans="1:4" x14ac:dyDescent="0.25">
      <c r="A14">
        <v>8</v>
      </c>
      <c r="B14" s="56">
        <v>44638</v>
      </c>
      <c r="C14" s="59">
        <v>2.7</v>
      </c>
      <c r="D14" s="59">
        <v>-2.7</v>
      </c>
    </row>
    <row r="15" spans="1:4" x14ac:dyDescent="0.25">
      <c r="A15">
        <v>9</v>
      </c>
      <c r="B15" s="56">
        <v>44646</v>
      </c>
      <c r="C15" s="59">
        <v>2.5</v>
      </c>
      <c r="D15" s="59">
        <v>-2.5</v>
      </c>
    </row>
    <row r="16" spans="1:4" x14ac:dyDescent="0.25">
      <c r="A16">
        <v>10</v>
      </c>
      <c r="B16" s="56">
        <v>44656</v>
      </c>
      <c r="C16" s="59">
        <v>2.6</v>
      </c>
      <c r="D16" s="59">
        <v>-2.6</v>
      </c>
    </row>
    <row r="17" spans="1:4" x14ac:dyDescent="0.25">
      <c r="D17" s="59"/>
    </row>
    <row r="18" spans="1:4" x14ac:dyDescent="0.25">
      <c r="B18" t="s">
        <v>40</v>
      </c>
      <c r="C18" s="61">
        <f>AVERAGE(C7:C16)</f>
        <v>2.6700000000000004</v>
      </c>
      <c r="D18" s="59"/>
    </row>
    <row r="19" spans="1:4" x14ac:dyDescent="0.25">
      <c r="B19" t="s">
        <v>68</v>
      </c>
      <c r="C19" s="14">
        <f>_xlfn.STDEV.P(C7:C16)</f>
        <v>0.12688577540449514</v>
      </c>
      <c r="D19" s="59"/>
    </row>
    <row r="20" spans="1:4" x14ac:dyDescent="0.25">
      <c r="D20" s="59"/>
    </row>
    <row r="21" spans="1:4" x14ac:dyDescent="0.25">
      <c r="D21" s="59"/>
    </row>
    <row r="22" spans="1:4" x14ac:dyDescent="0.25">
      <c r="D22" s="59"/>
    </row>
    <row r="23" spans="1:4" x14ac:dyDescent="0.25">
      <c r="D23" s="59"/>
    </row>
    <row r="27" spans="1:4" x14ac:dyDescent="0.25">
      <c r="A27" t="s">
        <v>92</v>
      </c>
    </row>
    <row r="28" spans="1:4" x14ac:dyDescent="0.25">
      <c r="A28">
        <v>1</v>
      </c>
      <c r="B28" s="56">
        <v>43975</v>
      </c>
      <c r="C28" s="59">
        <v>3</v>
      </c>
      <c r="D28" s="59">
        <v>-3</v>
      </c>
    </row>
    <row r="29" spans="1:4" x14ac:dyDescent="0.25">
      <c r="A29">
        <v>2</v>
      </c>
      <c r="B29" s="56">
        <v>44069</v>
      </c>
      <c r="C29" s="59">
        <v>2.5</v>
      </c>
      <c r="D29" s="59">
        <v>-2.5</v>
      </c>
    </row>
  </sheetData>
  <sortState xmlns:xlrd2="http://schemas.microsoft.com/office/spreadsheetml/2017/richdata2" ref="B9:D14">
    <sortCondition ref="B9:B14"/>
  </sortState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D808-EE4F-4A16-8BAD-A649835443BA}">
  <sheetPr codeName="Sheet4">
    <pageSetUpPr fitToPage="1"/>
  </sheetPr>
  <dimension ref="A2:M27"/>
  <sheetViews>
    <sheetView topLeftCell="A7" workbookViewId="0">
      <selection activeCell="E19" sqref="E19"/>
    </sheetView>
  </sheetViews>
  <sheetFormatPr defaultRowHeight="15" x14ac:dyDescent="0.25"/>
  <cols>
    <col min="1" max="1" width="20.42578125" customWidth="1"/>
    <col min="3" max="3" width="18.140625" bestFit="1" customWidth="1"/>
  </cols>
  <sheetData>
    <row r="2" spans="1:13" ht="15.75" x14ac:dyDescent="0.25">
      <c r="G2" s="73" t="s">
        <v>0</v>
      </c>
      <c r="H2" s="73"/>
      <c r="I2" s="73"/>
      <c r="J2" s="73"/>
      <c r="K2" s="73"/>
      <c r="L2" s="73"/>
      <c r="M2" s="73"/>
    </row>
    <row r="3" spans="1:13" ht="15.75" x14ac:dyDescent="0.25">
      <c r="G3" s="73" t="s">
        <v>1</v>
      </c>
      <c r="H3" s="73"/>
      <c r="I3" s="73"/>
      <c r="J3" s="73"/>
      <c r="K3" s="73"/>
      <c r="L3" s="73"/>
      <c r="M3" s="73"/>
    </row>
    <row r="5" spans="1:13" x14ac:dyDescent="0.25">
      <c r="A5" t="s">
        <v>2</v>
      </c>
      <c r="B5" t="s">
        <v>3</v>
      </c>
    </row>
    <row r="6" spans="1:13" x14ac:dyDescent="0.25">
      <c r="A6" t="s">
        <v>4</v>
      </c>
      <c r="B6" t="s">
        <v>5</v>
      </c>
    </row>
    <row r="7" spans="1:13" x14ac:dyDescent="0.25">
      <c r="A7">
        <v>14</v>
      </c>
      <c r="B7">
        <v>52.9</v>
      </c>
    </row>
    <row r="8" spans="1:13" x14ac:dyDescent="0.25">
      <c r="A8">
        <v>291</v>
      </c>
      <c r="B8">
        <v>49.7</v>
      </c>
    </row>
    <row r="9" spans="1:13" x14ac:dyDescent="0.25">
      <c r="A9">
        <v>459</v>
      </c>
      <c r="B9">
        <v>45.1</v>
      </c>
    </row>
    <row r="10" spans="1:13" x14ac:dyDescent="0.25">
      <c r="A10">
        <v>787</v>
      </c>
      <c r="B10">
        <v>44.2</v>
      </c>
    </row>
    <row r="11" spans="1:13" x14ac:dyDescent="0.25">
      <c r="A11">
        <v>1134</v>
      </c>
      <c r="B11">
        <v>39.799999999999997</v>
      </c>
    </row>
    <row r="13" spans="1:13" x14ac:dyDescent="0.25">
      <c r="A13" t="s">
        <v>6</v>
      </c>
      <c r="B13">
        <v>46.339999999999996</v>
      </c>
    </row>
    <row r="14" spans="1:13" hidden="1" x14ac:dyDescent="0.25">
      <c r="A14" t="s">
        <v>7</v>
      </c>
      <c r="B14">
        <v>2.2716954021171061</v>
      </c>
    </row>
    <row r="15" spans="1:13" x14ac:dyDescent="0.25">
      <c r="A15" t="s">
        <v>8</v>
      </c>
      <c r="B15">
        <v>45.1</v>
      </c>
      <c r="H15" t="s">
        <v>9</v>
      </c>
    </row>
    <row r="16" spans="1:13" x14ac:dyDescent="0.25">
      <c r="A16" t="s">
        <v>10</v>
      </c>
      <c r="B16" t="e">
        <v>#N/A</v>
      </c>
    </row>
    <row r="17" spans="1:9" x14ac:dyDescent="0.25">
      <c r="A17" t="s">
        <v>11</v>
      </c>
      <c r="B17">
        <v>5.0796653433075694</v>
      </c>
    </row>
    <row r="18" spans="1:9" x14ac:dyDescent="0.25">
      <c r="A18" t="s">
        <v>12</v>
      </c>
      <c r="B18">
        <v>25.803000000000004</v>
      </c>
    </row>
    <row r="19" spans="1:9" x14ac:dyDescent="0.25">
      <c r="A19" t="s">
        <v>13</v>
      </c>
      <c r="B19">
        <v>-0.80541755921079705</v>
      </c>
    </row>
    <row r="20" spans="1:9" x14ac:dyDescent="0.25">
      <c r="A20" t="s">
        <v>14</v>
      </c>
      <c r="B20">
        <v>9.1554471831615802E-2</v>
      </c>
    </row>
    <row r="21" spans="1:9" x14ac:dyDescent="0.25">
      <c r="A21" t="s">
        <v>15</v>
      </c>
      <c r="B21">
        <v>13.100000000000001</v>
      </c>
    </row>
    <row r="22" spans="1:9" x14ac:dyDescent="0.25">
      <c r="A22" t="s">
        <v>16</v>
      </c>
      <c r="B22">
        <v>39.799999999999997</v>
      </c>
    </row>
    <row r="23" spans="1:9" x14ac:dyDescent="0.25">
      <c r="A23" t="s">
        <v>17</v>
      </c>
      <c r="B23">
        <v>52.9</v>
      </c>
    </row>
    <row r="24" spans="1:9" x14ac:dyDescent="0.25">
      <c r="A24" t="s">
        <v>18</v>
      </c>
      <c r="B24">
        <v>231.7</v>
      </c>
    </row>
    <row r="25" spans="1:9" ht="15.75" thickBot="1" x14ac:dyDescent="0.3">
      <c r="A25" s="1" t="s">
        <v>19</v>
      </c>
      <c r="B25" s="1">
        <v>5</v>
      </c>
    </row>
    <row r="27" spans="1:9" x14ac:dyDescent="0.25">
      <c r="D27" t="s">
        <v>20</v>
      </c>
      <c r="H27">
        <f>600*-0.0112+52.424</f>
        <v>45.704000000000001</v>
      </c>
      <c r="I27" t="s">
        <v>21</v>
      </c>
    </row>
  </sheetData>
  <mergeCells count="2">
    <mergeCell ref="G2:M2"/>
    <mergeCell ref="G3:M3"/>
  </mergeCells>
  <hyperlinks>
    <hyperlink ref="G2" r:id="rId1" display="https://www.google.com/search?q=wingaersheek+beach+cape+ann&amp;spell=1&amp;sa=X&amp;ved=2ahUKEwithsiwpPrmAhXP1FkKHe2ZBQkQkeECKAB6BAgOECY" xr:uid="{80623C76-743A-466F-BA80-9B9935A18800}"/>
  </hyperlinks>
  <pageMargins left="0.7" right="0.7" top="0.75" bottom="0.75" header="0.3" footer="0.3"/>
  <pageSetup scale="82" orientation="landscape" horizontalDpi="4294967293" verticalDpi="4294967293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EAA32-BA0C-4BE2-8A21-73ED2F339614}">
  <sheetPr codeName="Sheet3"/>
  <dimension ref="A2:AA15"/>
  <sheetViews>
    <sheetView workbookViewId="0">
      <selection activeCell="E19" sqref="E19"/>
    </sheetView>
  </sheetViews>
  <sheetFormatPr defaultRowHeight="15" x14ac:dyDescent="0.25"/>
  <cols>
    <col min="2" max="2" width="10" bestFit="1" customWidth="1"/>
    <col min="3" max="3" width="10.5703125" bestFit="1" customWidth="1"/>
    <col min="4" max="4" width="10.5703125" customWidth="1"/>
  </cols>
  <sheetData>
    <row r="2" spans="1:27" x14ac:dyDescent="0.25">
      <c r="J2" s="71" t="s">
        <v>63</v>
      </c>
      <c r="K2" s="71"/>
      <c r="L2" s="71"/>
      <c r="M2" s="71"/>
      <c r="R2" t="s">
        <v>67</v>
      </c>
      <c r="S2" t="s">
        <v>67</v>
      </c>
      <c r="U2" t="s">
        <v>62</v>
      </c>
    </row>
    <row r="3" spans="1:27" x14ac:dyDescent="0.25">
      <c r="D3" t="s">
        <v>64</v>
      </c>
      <c r="E3" t="s">
        <v>57</v>
      </c>
      <c r="F3" t="s">
        <v>58</v>
      </c>
      <c r="G3" t="s">
        <v>59</v>
      </c>
      <c r="H3" t="s">
        <v>60</v>
      </c>
      <c r="L3" t="s">
        <v>33</v>
      </c>
      <c r="M3" t="s">
        <v>31</v>
      </c>
      <c r="O3" t="s">
        <v>61</v>
      </c>
      <c r="P3" t="s">
        <v>31</v>
      </c>
      <c r="R3" t="s">
        <v>69</v>
      </c>
      <c r="S3" t="s">
        <v>70</v>
      </c>
      <c r="U3" t="s">
        <v>68</v>
      </c>
    </row>
    <row r="4" spans="1:27" x14ac:dyDescent="0.25">
      <c r="A4">
        <v>1</v>
      </c>
      <c r="B4" s="16">
        <v>43832</v>
      </c>
      <c r="C4" t="s">
        <v>54</v>
      </c>
      <c r="D4" t="s">
        <v>65</v>
      </c>
      <c r="E4">
        <v>18</v>
      </c>
      <c r="F4">
        <v>0</v>
      </c>
      <c r="G4">
        <v>0</v>
      </c>
      <c r="H4" s="17">
        <f>+E4+F4/60+G4/3600</f>
        <v>18</v>
      </c>
      <c r="K4" s="17">
        <f>INT(H4)</f>
        <v>18</v>
      </c>
      <c r="L4" s="17">
        <v>85</v>
      </c>
      <c r="M4" s="17">
        <v>8.8000000000000007</v>
      </c>
      <c r="N4" s="17">
        <f>+K4+1</f>
        <v>19</v>
      </c>
      <c r="O4" s="17">
        <v>85</v>
      </c>
      <c r="P4" s="17">
        <v>35.9</v>
      </c>
      <c r="Q4" s="17"/>
      <c r="R4" s="17">
        <f>+P4-M4</f>
        <v>27.099999999999998</v>
      </c>
      <c r="S4" s="17">
        <f>+R4/60</f>
        <v>0.45166666666666661</v>
      </c>
      <c r="T4" s="19">
        <v>4</v>
      </c>
      <c r="U4" s="17">
        <v>14.8</v>
      </c>
      <c r="V4" s="19">
        <v>3</v>
      </c>
      <c r="W4">
        <v>42</v>
      </c>
      <c r="X4">
        <v>39.1</v>
      </c>
      <c r="Y4">
        <v>70</v>
      </c>
      <c r="Z4">
        <v>41.4</v>
      </c>
      <c r="AA4" s="18">
        <v>-2</v>
      </c>
    </row>
    <row r="5" spans="1:27" x14ac:dyDescent="0.25">
      <c r="A5">
        <v>2</v>
      </c>
      <c r="B5" s="16">
        <v>43847</v>
      </c>
      <c r="C5" t="s">
        <v>55</v>
      </c>
      <c r="D5" t="s">
        <v>65</v>
      </c>
      <c r="E5">
        <v>15</v>
      </c>
      <c r="F5">
        <v>0</v>
      </c>
      <c r="G5">
        <v>0</v>
      </c>
      <c r="H5" s="17">
        <f>+E5+F5/60+G5/3600</f>
        <v>15</v>
      </c>
      <c r="K5" s="17">
        <f>INT(H5)</f>
        <v>15</v>
      </c>
      <c r="L5" s="17">
        <v>88</v>
      </c>
      <c r="M5" s="17">
        <v>54.2</v>
      </c>
      <c r="N5" s="17">
        <f>+K5+1</f>
        <v>16</v>
      </c>
      <c r="O5" s="17">
        <v>88</v>
      </c>
      <c r="P5" s="17">
        <v>21.8</v>
      </c>
      <c r="Q5" s="17"/>
      <c r="R5" s="17">
        <f>+M5-P5</f>
        <v>32.400000000000006</v>
      </c>
      <c r="S5" s="17">
        <f>+R5/60</f>
        <v>0.54000000000000015</v>
      </c>
      <c r="T5" s="19">
        <v>1</v>
      </c>
      <c r="U5" s="17">
        <v>16.2</v>
      </c>
      <c r="V5" s="19">
        <v>1</v>
      </c>
      <c r="W5">
        <v>43</v>
      </c>
      <c r="X5">
        <v>4.9000000000000004</v>
      </c>
      <c r="Y5">
        <v>70</v>
      </c>
      <c r="Z5">
        <v>44.6</v>
      </c>
      <c r="AA5" s="18">
        <v>-2</v>
      </c>
    </row>
    <row r="6" spans="1:27" x14ac:dyDescent="0.25">
      <c r="A6">
        <v>3</v>
      </c>
      <c r="B6" s="16">
        <v>43859</v>
      </c>
      <c r="C6" t="s">
        <v>56</v>
      </c>
      <c r="D6" t="s">
        <v>66</v>
      </c>
      <c r="E6">
        <v>22</v>
      </c>
      <c r="F6">
        <v>10</v>
      </c>
      <c r="H6" s="17">
        <f>+E6+F6/60+G6/3600</f>
        <v>22.166666666666668</v>
      </c>
      <c r="K6" s="17">
        <f>INT(H6)</f>
        <v>22</v>
      </c>
      <c r="L6" s="17">
        <v>16</v>
      </c>
      <c r="M6" s="17">
        <v>7</v>
      </c>
      <c r="N6" s="17">
        <f>+K6+1</f>
        <v>23</v>
      </c>
      <c r="O6" s="17">
        <v>16</v>
      </c>
      <c r="P6" s="17">
        <v>32.799999999999997</v>
      </c>
      <c r="Q6" s="17"/>
      <c r="R6" s="17">
        <f>+P6-M6</f>
        <v>25.799999999999997</v>
      </c>
      <c r="S6" s="17">
        <f>+R6/60</f>
        <v>0.42999999999999994</v>
      </c>
      <c r="T6" s="19">
        <v>5</v>
      </c>
      <c r="U6" s="17">
        <v>14.8</v>
      </c>
      <c r="V6" s="19">
        <v>3</v>
      </c>
      <c r="W6">
        <v>42</v>
      </c>
      <c r="X6">
        <v>58.8</v>
      </c>
      <c r="Y6">
        <v>70</v>
      </c>
      <c r="Z6">
        <v>57.4</v>
      </c>
      <c r="AA6" s="18">
        <v>-2.2999999999999998</v>
      </c>
    </row>
    <row r="7" spans="1:27" x14ac:dyDescent="0.25">
      <c r="A7">
        <v>4</v>
      </c>
      <c r="B7" s="16">
        <v>43861</v>
      </c>
      <c r="C7" t="s">
        <v>56</v>
      </c>
      <c r="D7" t="s">
        <v>65</v>
      </c>
      <c r="E7">
        <v>17</v>
      </c>
      <c r="F7">
        <v>30</v>
      </c>
      <c r="G7">
        <v>0</v>
      </c>
      <c r="H7" s="17">
        <f>+E7+F7/60+G7/3600</f>
        <v>17.5</v>
      </c>
      <c r="K7" s="17">
        <f>INT(H7)</f>
        <v>17</v>
      </c>
      <c r="L7" s="17">
        <v>75</v>
      </c>
      <c r="M7" s="17">
        <v>4</v>
      </c>
      <c r="N7" s="17">
        <f>+K7+1</f>
        <v>18</v>
      </c>
      <c r="O7" s="17">
        <v>75</v>
      </c>
      <c r="P7" s="17">
        <v>31.2</v>
      </c>
      <c r="Q7" s="17"/>
      <c r="R7" s="17">
        <f>+P7-M7</f>
        <v>27.2</v>
      </c>
      <c r="S7" s="17">
        <f>+R7/60</f>
        <v>0.45333333333333331</v>
      </c>
      <c r="T7" s="19">
        <v>3</v>
      </c>
      <c r="U7" s="17">
        <v>14.8</v>
      </c>
      <c r="V7" s="19">
        <v>3</v>
      </c>
      <c r="W7">
        <v>43</v>
      </c>
      <c r="X7">
        <v>0</v>
      </c>
      <c r="Y7">
        <v>71</v>
      </c>
      <c r="Z7">
        <v>0</v>
      </c>
      <c r="AA7" s="18">
        <v>-2.2999999999999998</v>
      </c>
    </row>
    <row r="8" spans="1:27" x14ac:dyDescent="0.25">
      <c r="A8">
        <v>5</v>
      </c>
      <c r="B8" s="16">
        <v>43891</v>
      </c>
      <c r="C8" t="s">
        <v>56</v>
      </c>
      <c r="D8" t="s">
        <v>65</v>
      </c>
      <c r="E8">
        <v>18</v>
      </c>
      <c r="F8">
        <v>15</v>
      </c>
      <c r="G8">
        <v>11</v>
      </c>
      <c r="H8" s="17">
        <f>+E8+F8/60+G8/3600</f>
        <v>18.253055555555555</v>
      </c>
      <c r="K8" s="17">
        <f>INT(H8)</f>
        <v>18</v>
      </c>
      <c r="L8" s="17">
        <v>77</v>
      </c>
      <c r="M8" s="17">
        <v>42.7</v>
      </c>
      <c r="N8" s="17">
        <f>+K8+1</f>
        <v>19</v>
      </c>
      <c r="O8" s="17">
        <v>78</v>
      </c>
      <c r="P8" s="17">
        <v>10.8</v>
      </c>
      <c r="Q8" s="17"/>
      <c r="R8" s="17">
        <f>+P8+60-M8</f>
        <v>28.099999999999994</v>
      </c>
      <c r="S8" s="17">
        <f>+R8/60</f>
        <v>0.46833333333333321</v>
      </c>
      <c r="T8" s="19">
        <v>2</v>
      </c>
      <c r="U8" s="17">
        <v>15</v>
      </c>
      <c r="V8" s="19">
        <v>2</v>
      </c>
      <c r="W8">
        <v>42</v>
      </c>
      <c r="X8">
        <v>58.3</v>
      </c>
      <c r="Y8">
        <v>70</v>
      </c>
      <c r="Z8">
        <v>57.4</v>
      </c>
      <c r="AA8" s="18">
        <v>-2.7</v>
      </c>
    </row>
    <row r="9" spans="1:27" x14ac:dyDescent="0.25">
      <c r="A9">
        <v>6</v>
      </c>
      <c r="B9" s="16"/>
      <c r="K9" s="17"/>
      <c r="L9" s="17"/>
      <c r="AA9" s="18"/>
    </row>
    <row r="10" spans="1:27" x14ac:dyDescent="0.25">
      <c r="A10">
        <v>7</v>
      </c>
      <c r="B10" s="16"/>
      <c r="AA10" s="18"/>
    </row>
    <row r="11" spans="1:27" x14ac:dyDescent="0.25">
      <c r="A11">
        <v>8</v>
      </c>
      <c r="B11" s="16"/>
      <c r="AA11" s="18"/>
    </row>
    <row r="12" spans="1:27" x14ac:dyDescent="0.25">
      <c r="A12">
        <v>9</v>
      </c>
      <c r="B12" s="16"/>
      <c r="AA12" s="18"/>
    </row>
    <row r="13" spans="1:27" x14ac:dyDescent="0.25">
      <c r="A13">
        <v>10</v>
      </c>
      <c r="B13" s="16"/>
    </row>
    <row r="14" spans="1:27" x14ac:dyDescent="0.25">
      <c r="A14">
        <v>11</v>
      </c>
      <c r="B14" s="16"/>
    </row>
    <row r="15" spans="1:27" x14ac:dyDescent="0.25">
      <c r="A15">
        <v>12</v>
      </c>
      <c r="B15" s="16"/>
    </row>
  </sheetData>
  <mergeCells count="1">
    <mergeCell ref="J2:M2"/>
  </mergeCells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1B87-0985-45CA-A825-236D9F774D4D}">
  <sheetPr codeName="Sheet2"/>
  <dimension ref="A1:I30"/>
  <sheetViews>
    <sheetView tabSelected="1" topLeftCell="A4" workbookViewId="0">
      <selection activeCell="M19" sqref="M19"/>
    </sheetView>
  </sheetViews>
  <sheetFormatPr defaultRowHeight="15" x14ac:dyDescent="0.25"/>
  <cols>
    <col min="2" max="2" width="13.7109375" customWidth="1"/>
    <col min="7" max="7" width="0" hidden="1" customWidth="1"/>
  </cols>
  <sheetData>
    <row r="1" spans="1:9" x14ac:dyDescent="0.25">
      <c r="C1" s="54" t="s">
        <v>88</v>
      </c>
      <c r="D1" s="54" t="s">
        <v>88</v>
      </c>
    </row>
    <row r="2" spans="1:9" x14ac:dyDescent="0.25">
      <c r="C2" s="53" t="s">
        <v>82</v>
      </c>
      <c r="D2" s="53" t="s">
        <v>82</v>
      </c>
      <c r="E2" s="53"/>
      <c r="F2" s="53"/>
      <c r="G2" s="53"/>
    </row>
    <row r="3" spans="1:9" x14ac:dyDescent="0.25">
      <c r="C3" s="53" t="s">
        <v>80</v>
      </c>
      <c r="D3" s="53" t="s">
        <v>80</v>
      </c>
      <c r="E3" s="53" t="s">
        <v>80</v>
      </c>
      <c r="F3" s="53" t="s">
        <v>52</v>
      </c>
      <c r="G3" s="53"/>
      <c r="H3" s="54" t="s">
        <v>89</v>
      </c>
    </row>
    <row r="4" spans="1:9" x14ac:dyDescent="0.25">
      <c r="C4" s="53" t="s">
        <v>38</v>
      </c>
      <c r="D4" s="53" t="s">
        <v>81</v>
      </c>
      <c r="E4" s="53" t="s">
        <v>83</v>
      </c>
      <c r="F4" s="53" t="s">
        <v>84</v>
      </c>
      <c r="G4" s="53"/>
      <c r="H4" s="54" t="s">
        <v>90</v>
      </c>
      <c r="I4" s="54" t="s">
        <v>91</v>
      </c>
    </row>
    <row r="5" spans="1:9" x14ac:dyDescent="0.25">
      <c r="A5">
        <v>1</v>
      </c>
      <c r="B5" s="56">
        <v>43819</v>
      </c>
      <c r="C5" s="57">
        <v>0.7</v>
      </c>
      <c r="D5">
        <v>21.8</v>
      </c>
      <c r="G5" s="14">
        <f>+D5/C5</f>
        <v>31.142857142857146</v>
      </c>
      <c r="H5" s="19">
        <f>+D5*15</f>
        <v>327</v>
      </c>
      <c r="I5" s="14">
        <f>+H5/60</f>
        <v>5.45</v>
      </c>
    </row>
    <row r="6" spans="1:9" x14ac:dyDescent="0.25">
      <c r="A6">
        <v>2</v>
      </c>
      <c r="B6" s="55">
        <v>43832</v>
      </c>
      <c r="C6" s="58">
        <v>0.3</v>
      </c>
      <c r="D6" s="8">
        <v>9.6</v>
      </c>
      <c r="G6" s="14">
        <f>+D6/C6</f>
        <v>32</v>
      </c>
      <c r="H6" s="19">
        <f>+D6*15</f>
        <v>144</v>
      </c>
      <c r="I6" s="14">
        <f>+H6/60</f>
        <v>2.4</v>
      </c>
    </row>
    <row r="7" spans="1:9" x14ac:dyDescent="0.25">
      <c r="A7">
        <v>3</v>
      </c>
      <c r="B7" s="55">
        <v>43859</v>
      </c>
      <c r="C7" s="58">
        <v>1</v>
      </c>
      <c r="D7" s="8">
        <v>28.8</v>
      </c>
      <c r="G7" s="14">
        <f>+D7/C7</f>
        <v>28.8</v>
      </c>
      <c r="H7" s="19">
        <f>+D7*15</f>
        <v>432</v>
      </c>
      <c r="I7" s="14">
        <f>+H7/60</f>
        <v>7.2</v>
      </c>
    </row>
    <row r="8" spans="1:9" x14ac:dyDescent="0.25">
      <c r="A8">
        <v>4</v>
      </c>
      <c r="B8" s="55">
        <v>43861</v>
      </c>
      <c r="C8" s="58">
        <v>-0.1</v>
      </c>
      <c r="D8" s="8">
        <v>-3</v>
      </c>
      <c r="G8" s="14">
        <f>+D8/C8</f>
        <v>30</v>
      </c>
      <c r="H8" s="19">
        <f>+D8*15</f>
        <v>-45</v>
      </c>
      <c r="I8" s="14">
        <f>+H8/60</f>
        <v>-0.75</v>
      </c>
    </row>
    <row r="9" spans="1:9" x14ac:dyDescent="0.25">
      <c r="A9">
        <v>5</v>
      </c>
      <c r="B9" s="55">
        <v>43891</v>
      </c>
      <c r="C9" s="58">
        <v>0.1</v>
      </c>
      <c r="D9" s="8">
        <v>3.6</v>
      </c>
      <c r="G9" s="14">
        <f>+D9/C9</f>
        <v>36</v>
      </c>
      <c r="H9" s="19">
        <f>+D9*15</f>
        <v>54</v>
      </c>
      <c r="I9" s="14">
        <f>+H9/60</f>
        <v>0.9</v>
      </c>
    </row>
    <row r="10" spans="1:9" x14ac:dyDescent="0.25">
      <c r="A10">
        <v>6</v>
      </c>
      <c r="B10" s="55">
        <v>43900</v>
      </c>
      <c r="C10" s="58">
        <v>0.3</v>
      </c>
      <c r="D10" s="8">
        <v>9.1999999999999993</v>
      </c>
      <c r="G10" s="14">
        <f t="shared" ref="G10:G17" si="0">+D10/C10</f>
        <v>30.666666666666664</v>
      </c>
      <c r="H10" s="19">
        <f t="shared" ref="H10:H17" si="1">+D10*15</f>
        <v>138</v>
      </c>
      <c r="I10" s="14">
        <f t="shared" ref="I10:I17" si="2">+H10/60</f>
        <v>2.2999999999999998</v>
      </c>
    </row>
    <row r="11" spans="1:9" x14ac:dyDescent="0.25">
      <c r="A11">
        <v>7</v>
      </c>
      <c r="B11" s="55">
        <v>43921</v>
      </c>
      <c r="C11" s="58">
        <v>0.8</v>
      </c>
      <c r="D11" s="8">
        <v>23.2</v>
      </c>
      <c r="G11" s="14">
        <f t="shared" si="0"/>
        <v>28.999999999999996</v>
      </c>
      <c r="H11" s="19">
        <f t="shared" si="1"/>
        <v>348</v>
      </c>
      <c r="I11" s="14">
        <f t="shared" si="2"/>
        <v>5.8</v>
      </c>
    </row>
    <row r="12" spans="1:9" x14ac:dyDescent="0.25">
      <c r="A12">
        <v>8</v>
      </c>
      <c r="B12" s="55">
        <v>43965</v>
      </c>
      <c r="C12" s="58">
        <v>0.7</v>
      </c>
      <c r="D12" s="8">
        <v>20.399999999999999</v>
      </c>
      <c r="G12" s="14">
        <f t="shared" si="0"/>
        <v>29.142857142857142</v>
      </c>
      <c r="H12" s="19">
        <f t="shared" si="1"/>
        <v>306</v>
      </c>
      <c r="I12" s="14">
        <f t="shared" si="2"/>
        <v>5.0999999999999996</v>
      </c>
    </row>
    <row r="13" spans="1:9" x14ac:dyDescent="0.25">
      <c r="A13">
        <v>9</v>
      </c>
      <c r="B13" s="55">
        <v>43982</v>
      </c>
      <c r="C13" s="58">
        <v>0.4</v>
      </c>
      <c r="D13" s="8">
        <v>10.6</v>
      </c>
      <c r="G13" s="14">
        <f t="shared" si="0"/>
        <v>26.499999999999996</v>
      </c>
      <c r="H13" s="19">
        <f t="shared" si="1"/>
        <v>159</v>
      </c>
      <c r="I13" s="14">
        <f t="shared" si="2"/>
        <v>2.65</v>
      </c>
    </row>
    <row r="14" spans="1:9" x14ac:dyDescent="0.25">
      <c r="A14">
        <v>10</v>
      </c>
      <c r="B14" s="55">
        <v>44156</v>
      </c>
      <c r="C14" s="58">
        <v>0.08</v>
      </c>
      <c r="D14" s="8">
        <v>2.5</v>
      </c>
      <c r="E14" s="8">
        <v>1.8</v>
      </c>
      <c r="F14">
        <v>-2.5</v>
      </c>
      <c r="G14" s="14">
        <f t="shared" si="0"/>
        <v>31.25</v>
      </c>
      <c r="H14" s="19">
        <f t="shared" si="1"/>
        <v>37.5</v>
      </c>
      <c r="I14" s="14">
        <f t="shared" si="2"/>
        <v>0.625</v>
      </c>
    </row>
    <row r="15" spans="1:9" x14ac:dyDescent="0.25">
      <c r="A15">
        <v>11</v>
      </c>
      <c r="B15" s="55">
        <v>44159</v>
      </c>
      <c r="C15" s="58">
        <v>-0.5</v>
      </c>
      <c r="D15" s="8">
        <v>-16.399999999999999</v>
      </c>
      <c r="E15" s="8">
        <v>12</v>
      </c>
      <c r="G15" s="14">
        <f t="shared" si="0"/>
        <v>32.799999999999997</v>
      </c>
      <c r="H15" s="19">
        <f t="shared" si="1"/>
        <v>-245.99999999999997</v>
      </c>
      <c r="I15" s="14">
        <f t="shared" si="2"/>
        <v>-4.0999999999999996</v>
      </c>
    </row>
    <row r="16" spans="1:9" x14ac:dyDescent="0.25">
      <c r="A16">
        <v>12</v>
      </c>
      <c r="B16" s="55">
        <v>44630</v>
      </c>
      <c r="C16" s="58">
        <v>-0.11</v>
      </c>
      <c r="D16" s="8">
        <v>-3.3</v>
      </c>
      <c r="E16" s="8">
        <v>2.4</v>
      </c>
      <c r="F16">
        <v>-2.8</v>
      </c>
      <c r="G16" s="14">
        <f t="shared" si="0"/>
        <v>30</v>
      </c>
      <c r="H16" s="19">
        <f t="shared" si="1"/>
        <v>-49.5</v>
      </c>
      <c r="I16" s="14">
        <f t="shared" si="2"/>
        <v>-0.82499999999999996</v>
      </c>
    </row>
    <row r="17" spans="1:9" x14ac:dyDescent="0.25">
      <c r="A17">
        <v>13</v>
      </c>
      <c r="B17" s="56">
        <v>44662</v>
      </c>
      <c r="C17" s="58">
        <v>0.25</v>
      </c>
      <c r="D17" s="8">
        <v>7.4</v>
      </c>
      <c r="E17" s="8">
        <v>5.4</v>
      </c>
      <c r="F17">
        <v>-2.7</v>
      </c>
      <c r="G17" s="14">
        <f t="shared" si="0"/>
        <v>29.6</v>
      </c>
      <c r="H17" s="19">
        <f t="shared" si="1"/>
        <v>111</v>
      </c>
      <c r="I17" s="14">
        <f t="shared" si="2"/>
        <v>1.85</v>
      </c>
    </row>
    <row r="18" spans="1:9" x14ac:dyDescent="0.25">
      <c r="A18">
        <v>14</v>
      </c>
    </row>
    <row r="19" spans="1:9" x14ac:dyDescent="0.25">
      <c r="A19">
        <v>15</v>
      </c>
      <c r="B19" s="55"/>
      <c r="C19" s="58"/>
      <c r="D19" s="8"/>
      <c r="E19" s="8"/>
    </row>
    <row r="20" spans="1:9" x14ac:dyDescent="0.25">
      <c r="B20" s="55"/>
      <c r="C20" s="58"/>
      <c r="D20" s="8"/>
      <c r="E20" s="8"/>
    </row>
    <row r="21" spans="1:9" x14ac:dyDescent="0.25">
      <c r="A21" t="s">
        <v>40</v>
      </c>
      <c r="B21" s="55"/>
      <c r="C21" s="58">
        <f>AVERAGE(C5:C17)</f>
        <v>0.30153846153846159</v>
      </c>
      <c r="D21" s="58">
        <f t="shared" ref="D21:I21" si="3">AVERAGE(D5:D17)</f>
        <v>8.7999999999999989</v>
      </c>
      <c r="E21" s="58">
        <f t="shared" si="3"/>
        <v>5.4</v>
      </c>
      <c r="F21" s="58">
        <f t="shared" si="3"/>
        <v>-2.6666666666666665</v>
      </c>
      <c r="G21" s="58">
        <f t="shared" si="3"/>
        <v>30.530952380952382</v>
      </c>
      <c r="H21" s="58">
        <f t="shared" si="3"/>
        <v>132</v>
      </c>
      <c r="I21" s="58">
        <f t="shared" si="3"/>
        <v>2.1999999999999997</v>
      </c>
    </row>
    <row r="22" spans="1:9" x14ac:dyDescent="0.25">
      <c r="B22" s="55"/>
      <c r="C22" s="58"/>
      <c r="D22" s="8"/>
      <c r="E22" s="8"/>
    </row>
    <row r="23" spans="1:9" x14ac:dyDescent="0.25">
      <c r="B23" s="55" t="s">
        <v>98</v>
      </c>
      <c r="C23" s="58"/>
      <c r="D23" s="8"/>
      <c r="E23" s="8"/>
    </row>
    <row r="24" spans="1:9" x14ac:dyDescent="0.25">
      <c r="B24" s="55"/>
      <c r="C24" s="58"/>
      <c r="D24" s="8"/>
      <c r="E24" s="8"/>
    </row>
    <row r="25" spans="1:9" x14ac:dyDescent="0.25">
      <c r="B25" s="55">
        <v>43847</v>
      </c>
      <c r="C25" s="58">
        <v>2.9</v>
      </c>
      <c r="D25" s="8">
        <v>88.2</v>
      </c>
      <c r="G25" s="14">
        <f t="shared" ref="G25:G30" si="4">+D25/C25</f>
        <v>30.413793103448278</v>
      </c>
    </row>
    <row r="26" spans="1:9" x14ac:dyDescent="0.25">
      <c r="B26" s="55">
        <v>44126</v>
      </c>
      <c r="C26" s="58">
        <v>2.7</v>
      </c>
      <c r="D26" s="8">
        <v>81</v>
      </c>
      <c r="E26" s="8">
        <v>59.2</v>
      </c>
      <c r="F26">
        <v>-2.8</v>
      </c>
      <c r="G26" s="14">
        <f t="shared" si="4"/>
        <v>29.999999999999996</v>
      </c>
    </row>
    <row r="27" spans="1:9" x14ac:dyDescent="0.25">
      <c r="B27" s="55">
        <v>44144</v>
      </c>
      <c r="C27" s="58">
        <v>-2.9</v>
      </c>
      <c r="D27" s="8">
        <v>87.4</v>
      </c>
      <c r="E27" s="8">
        <v>64</v>
      </c>
      <c r="F27">
        <v>-2.6</v>
      </c>
      <c r="G27" s="14">
        <f t="shared" si="4"/>
        <v>-30.137931034482762</v>
      </c>
    </row>
    <row r="28" spans="1:9" x14ac:dyDescent="0.25">
      <c r="B28" s="55">
        <v>44112</v>
      </c>
      <c r="C28" s="58">
        <v>1.3</v>
      </c>
      <c r="D28" s="8">
        <v>37.6</v>
      </c>
      <c r="E28" s="8">
        <v>27.5</v>
      </c>
      <c r="F28">
        <v>-2.9</v>
      </c>
      <c r="G28" s="14">
        <f t="shared" si="4"/>
        <v>28.923076923076923</v>
      </c>
      <c r="H28" s="19">
        <f>+D28*15</f>
        <v>564</v>
      </c>
      <c r="I28" s="14">
        <f>+H28/60</f>
        <v>9.4</v>
      </c>
    </row>
    <row r="29" spans="1:9" x14ac:dyDescent="0.25">
      <c r="B29" s="55">
        <v>43894</v>
      </c>
      <c r="C29" s="58">
        <v>-1</v>
      </c>
      <c r="D29" s="8">
        <v>-30.1</v>
      </c>
      <c r="G29" s="14">
        <f t="shared" si="4"/>
        <v>30.1</v>
      </c>
      <c r="H29" s="19">
        <f>+D29*15</f>
        <v>-451.5</v>
      </c>
      <c r="I29" s="14">
        <f>+H29/60</f>
        <v>-7.5250000000000004</v>
      </c>
    </row>
    <row r="30" spans="1:9" x14ac:dyDescent="0.25">
      <c r="B30" s="56">
        <v>44646</v>
      </c>
      <c r="C30" s="58">
        <v>3.8</v>
      </c>
      <c r="D30" s="8">
        <v>114.4</v>
      </c>
      <c r="E30" s="8">
        <v>83.7</v>
      </c>
      <c r="F30">
        <v>2.5</v>
      </c>
      <c r="G30" s="14">
        <f t="shared" si="4"/>
        <v>30.10526315789474</v>
      </c>
      <c r="H30" s="19">
        <f>+D30*15</f>
        <v>1716</v>
      </c>
      <c r="I30" s="14">
        <f>+H30/60</f>
        <v>28.6</v>
      </c>
    </row>
  </sheetData>
  <pageMargins left="0.7" right="0.7" top="0.75" bottom="0.75" header="0.3" footer="0.3"/>
  <pageSetup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C4B43-0486-4143-8954-3C428F3D6CCB}">
  <sheetPr>
    <tabColor rgb="FFFFFF00"/>
    <pageSetUpPr fitToPage="1"/>
  </sheetPr>
  <dimension ref="A1:R31"/>
  <sheetViews>
    <sheetView workbookViewId="0">
      <selection activeCell="J23" sqref="J23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  <col min="13" max="13" width="10.5703125" customWidth="1"/>
    <col min="16" max="16" width="11" bestFit="1" customWidth="1"/>
  </cols>
  <sheetData>
    <row r="1" spans="1:12" x14ac:dyDescent="0.25">
      <c r="A1" t="s">
        <v>41</v>
      </c>
      <c r="B1" s="70">
        <v>44662</v>
      </c>
      <c r="C1" s="70"/>
      <c r="J1" s="71" t="s">
        <v>101</v>
      </c>
      <c r="K1" s="71"/>
      <c r="L1" s="71"/>
    </row>
    <row r="2" spans="1:12" x14ac:dyDescent="0.25">
      <c r="A2" t="s">
        <v>42</v>
      </c>
      <c r="B2" t="s">
        <v>101</v>
      </c>
      <c r="E2" s="64"/>
      <c r="F2" s="64"/>
      <c r="G2" s="64"/>
      <c r="J2" s="70">
        <v>44662</v>
      </c>
      <c r="K2" s="71"/>
      <c r="L2" s="71"/>
    </row>
    <row r="3" spans="1:12" x14ac:dyDescent="0.25">
      <c r="A3" t="s">
        <v>79</v>
      </c>
      <c r="E3" s="64" t="s">
        <v>102</v>
      </c>
      <c r="F3" s="64"/>
      <c r="G3" s="64"/>
      <c r="J3" s="71" t="s">
        <v>75</v>
      </c>
      <c r="K3" s="71"/>
      <c r="L3" s="71"/>
    </row>
    <row r="4" spans="1:12" x14ac:dyDescent="0.25">
      <c r="A4" t="s">
        <v>72</v>
      </c>
      <c r="B4">
        <v>60</v>
      </c>
      <c r="E4" s="64" t="s">
        <v>103</v>
      </c>
      <c r="F4" s="64"/>
      <c r="G4" s="64"/>
    </row>
    <row r="5" spans="1:12" x14ac:dyDescent="0.25">
      <c r="A5" t="s">
        <v>73</v>
      </c>
      <c r="B5" s="22">
        <v>30</v>
      </c>
      <c r="E5" s="64" t="s">
        <v>104</v>
      </c>
      <c r="F5" s="64"/>
      <c r="G5" s="64"/>
    </row>
    <row r="6" spans="1:12" x14ac:dyDescent="0.25">
      <c r="A6" t="s">
        <v>74</v>
      </c>
      <c r="B6">
        <v>-2.7</v>
      </c>
      <c r="E6" s="64" t="s">
        <v>105</v>
      </c>
    </row>
    <row r="9" spans="1:12" x14ac:dyDescent="0.25">
      <c r="A9" s="29"/>
      <c r="B9" s="68" t="s">
        <v>28</v>
      </c>
      <c r="C9" s="68"/>
      <c r="D9" s="68"/>
      <c r="E9" s="68"/>
      <c r="F9" s="68"/>
      <c r="G9" s="68"/>
      <c r="H9" s="32"/>
      <c r="I9" s="72" t="s">
        <v>29</v>
      </c>
      <c r="J9" s="72"/>
    </row>
    <row r="10" spans="1:12" x14ac:dyDescent="0.25">
      <c r="A10" s="25"/>
      <c r="B10" s="67" t="s">
        <v>35</v>
      </c>
      <c r="C10" s="68"/>
      <c r="D10" s="69"/>
      <c r="E10" s="28"/>
      <c r="F10" s="67" t="s">
        <v>36</v>
      </c>
      <c r="G10" s="68"/>
      <c r="H10" s="36"/>
      <c r="I10" s="37" t="s">
        <v>27</v>
      </c>
      <c r="J10" s="37" t="s">
        <v>38</v>
      </c>
    </row>
    <row r="11" spans="1:12" x14ac:dyDescent="0.25">
      <c r="A11" s="36" t="s">
        <v>43</v>
      </c>
      <c r="B11" s="37" t="s">
        <v>30</v>
      </c>
      <c r="C11" s="37" t="s">
        <v>31</v>
      </c>
      <c r="D11" s="37" t="s">
        <v>32</v>
      </c>
      <c r="E11" s="36"/>
      <c r="F11" s="37" t="s">
        <v>33</v>
      </c>
      <c r="G11" s="37" t="s">
        <v>34</v>
      </c>
      <c r="H11" s="26"/>
      <c r="I11" s="37" t="s">
        <v>37</v>
      </c>
      <c r="J11" s="37" t="s">
        <v>39</v>
      </c>
    </row>
    <row r="12" spans="1:12" x14ac:dyDescent="0.25">
      <c r="A12" s="26">
        <v>1</v>
      </c>
      <c r="B12" s="26"/>
      <c r="C12" s="26"/>
      <c r="D12" s="26"/>
      <c r="E12" s="26"/>
      <c r="F12" s="26"/>
      <c r="G12" s="30"/>
      <c r="H12" s="26"/>
      <c r="I12" s="33">
        <f t="shared" ref="I12:I17" si="0">+B12+(C12/60)+(D12/3600)</f>
        <v>0</v>
      </c>
      <c r="J12" s="33">
        <f t="shared" ref="J12:J17" si="1">+F12+G12/60</f>
        <v>0</v>
      </c>
    </row>
    <row r="13" spans="1:12" x14ac:dyDescent="0.25">
      <c r="A13" s="26">
        <v>2</v>
      </c>
      <c r="B13" s="26">
        <v>21</v>
      </c>
      <c r="C13" s="26">
        <v>3</v>
      </c>
      <c r="D13" s="26">
        <v>0</v>
      </c>
      <c r="E13" s="26"/>
      <c r="F13" s="26">
        <v>119</v>
      </c>
      <c r="G13" s="30">
        <v>7.8</v>
      </c>
      <c r="H13" s="26"/>
      <c r="I13" s="33">
        <f t="shared" si="0"/>
        <v>21.05</v>
      </c>
      <c r="J13" s="33">
        <f t="shared" si="1"/>
        <v>119.13</v>
      </c>
    </row>
    <row r="14" spans="1:12" x14ac:dyDescent="0.25">
      <c r="A14" s="26">
        <v>3</v>
      </c>
      <c r="B14" s="26">
        <v>21</v>
      </c>
      <c r="C14" s="26">
        <v>4</v>
      </c>
      <c r="D14" s="26">
        <v>4</v>
      </c>
      <c r="E14" s="26"/>
      <c r="F14" s="26">
        <v>119</v>
      </c>
      <c r="G14" s="30">
        <v>8.3000000000000007</v>
      </c>
      <c r="H14" s="26"/>
      <c r="I14" s="33">
        <f t="shared" si="0"/>
        <v>21.067777777777778</v>
      </c>
      <c r="J14" s="33">
        <f t="shared" si="1"/>
        <v>119.13833333333334</v>
      </c>
    </row>
    <row r="15" spans="1:12" x14ac:dyDescent="0.25">
      <c r="A15" s="26">
        <v>4</v>
      </c>
      <c r="B15" s="26">
        <v>21</v>
      </c>
      <c r="C15" s="26">
        <v>5</v>
      </c>
      <c r="D15" s="26">
        <v>21</v>
      </c>
      <c r="E15" s="26"/>
      <c r="F15" s="26">
        <v>119</v>
      </c>
      <c r="G15" s="30">
        <v>9.1999999999999993</v>
      </c>
      <c r="H15" s="26"/>
      <c r="I15" s="33">
        <f t="shared" si="0"/>
        <v>21.089166666666664</v>
      </c>
      <c r="J15" s="33">
        <f t="shared" si="1"/>
        <v>119.15333333333334</v>
      </c>
    </row>
    <row r="16" spans="1:12" x14ac:dyDescent="0.25">
      <c r="A16" s="27">
        <v>5</v>
      </c>
      <c r="B16" s="26">
        <v>21</v>
      </c>
      <c r="C16" s="27">
        <v>6</v>
      </c>
      <c r="D16" s="27">
        <v>31</v>
      </c>
      <c r="E16" s="27"/>
      <c r="F16" s="26">
        <v>119</v>
      </c>
      <c r="G16" s="31">
        <v>9.8000000000000007</v>
      </c>
      <c r="H16" s="26"/>
      <c r="I16" s="33">
        <f t="shared" si="0"/>
        <v>21.108611111111113</v>
      </c>
      <c r="J16" s="33">
        <f t="shared" si="1"/>
        <v>119.16333333333333</v>
      </c>
    </row>
    <row r="17" spans="1:18" x14ac:dyDescent="0.25">
      <c r="G17" s="8"/>
      <c r="H17" s="26"/>
      <c r="I17" s="33">
        <f t="shared" si="0"/>
        <v>0</v>
      </c>
      <c r="J17" s="33">
        <f t="shared" si="1"/>
        <v>0</v>
      </c>
    </row>
    <row r="18" spans="1:18" x14ac:dyDescent="0.25">
      <c r="G18" s="8"/>
      <c r="H18" s="26"/>
      <c r="I18" s="26"/>
      <c r="J18" s="26"/>
    </row>
    <row r="19" spans="1:18" x14ac:dyDescent="0.25">
      <c r="F19" t="s">
        <v>40</v>
      </c>
      <c r="H19" s="36"/>
      <c r="I19" s="38">
        <f>AVERAGE(I13:I16)</f>
        <v>21.078888888888887</v>
      </c>
      <c r="J19" s="38">
        <f>AVERAGE(J13:J16)</f>
        <v>119.14624999999998</v>
      </c>
    </row>
    <row r="20" spans="1:18" x14ac:dyDescent="0.25">
      <c r="H20" s="26"/>
      <c r="I20" s="34" t="s">
        <v>52</v>
      </c>
      <c r="J20" s="34">
        <f>+B6/60</f>
        <v>-4.5000000000000005E-2</v>
      </c>
    </row>
    <row r="21" spans="1:18" x14ac:dyDescent="0.25">
      <c r="H21" s="26"/>
      <c r="I21" s="34"/>
      <c r="J21" s="34">
        <f>+J19+J20</f>
        <v>119.10124999999998</v>
      </c>
    </row>
    <row r="22" spans="1:18" x14ac:dyDescent="0.25">
      <c r="H22" s="26"/>
      <c r="I22" s="39">
        <f>ROUND(TRUNC(I19,0),0)</f>
        <v>21</v>
      </c>
      <c r="J22" s="39">
        <f>ROUND(TRUNC(J21,0),0)</f>
        <v>119</v>
      </c>
    </row>
    <row r="23" spans="1:18" x14ac:dyDescent="0.25">
      <c r="H23" s="26"/>
      <c r="I23" s="34">
        <f>(+I19-I22)</f>
        <v>7.888888888888701E-2</v>
      </c>
      <c r="J23" s="41">
        <f>ROUND((MOD(J21,1)*60),5)</f>
        <v>6.0750000000000002</v>
      </c>
      <c r="N23" s="63" t="s">
        <v>37</v>
      </c>
    </row>
    <row r="24" spans="1:18" x14ac:dyDescent="0.25">
      <c r="H24" s="27"/>
      <c r="I24" s="40">
        <f>ROUND(MOD(I23,1)*60,1)</f>
        <v>4.7</v>
      </c>
      <c r="J24" s="35"/>
      <c r="L24" s="32"/>
      <c r="N24" s="63"/>
      <c r="O24" s="32"/>
      <c r="P24" s="63" t="s">
        <v>77</v>
      </c>
      <c r="Q24" s="63" t="s">
        <v>52</v>
      </c>
      <c r="R24" s="63" t="s">
        <v>78</v>
      </c>
    </row>
    <row r="25" spans="1:18" x14ac:dyDescent="0.25">
      <c r="I25" s="10"/>
      <c r="L25" s="36"/>
      <c r="M25" s="43">
        <v>21.1</v>
      </c>
      <c r="N25" s="36"/>
      <c r="O25" s="36"/>
      <c r="P25" s="38">
        <f>0.5844*21.1+106.83</f>
        <v>119.16084000000001</v>
      </c>
      <c r="Q25" s="36"/>
      <c r="R25" s="46"/>
    </row>
    <row r="26" spans="1:18" x14ac:dyDescent="0.25">
      <c r="I26" t="s">
        <v>53</v>
      </c>
      <c r="L26" s="44">
        <v>21</v>
      </c>
      <c r="M26" s="52">
        <f>(+M25-L26)*60</f>
        <v>6.0000000000000853</v>
      </c>
      <c r="N26" s="27"/>
      <c r="O26" s="44">
        <v>119</v>
      </c>
      <c r="P26" s="47">
        <f>+P25-O26</f>
        <v>0.16084000000000742</v>
      </c>
      <c r="Q26" s="47">
        <f>+B6/60</f>
        <v>-4.5000000000000005E-2</v>
      </c>
      <c r="R26" s="47">
        <f>+P26+Q26</f>
        <v>0.11584000000000741</v>
      </c>
    </row>
    <row r="28" spans="1:18" x14ac:dyDescent="0.25">
      <c r="O28" s="29">
        <f>+O26</f>
        <v>119</v>
      </c>
      <c r="P28" s="66">
        <f>+R26*60</f>
        <v>6.9504000000004442</v>
      </c>
    </row>
    <row r="29" spans="1:18" x14ac:dyDescent="0.25">
      <c r="B29" t="s">
        <v>76</v>
      </c>
      <c r="G29" s="8"/>
      <c r="I29" s="9"/>
      <c r="J29" s="9"/>
    </row>
    <row r="30" spans="1:18" x14ac:dyDescent="0.25">
      <c r="G30" s="8"/>
      <c r="I30" s="9"/>
      <c r="J30" s="9"/>
    </row>
    <row r="31" spans="1:18" x14ac:dyDescent="0.25">
      <c r="A31" s="26">
        <v>1</v>
      </c>
      <c r="B31" s="26">
        <v>21</v>
      </c>
      <c r="C31" s="26">
        <v>0</v>
      </c>
      <c r="D31" s="26">
        <v>56</v>
      </c>
      <c r="E31" s="26"/>
      <c r="F31" s="26">
        <v>119</v>
      </c>
      <c r="G31" s="30">
        <v>8.1</v>
      </c>
      <c r="H31" s="26"/>
      <c r="I31" s="33">
        <f>+B31+(C31/60)+(D31/3600)</f>
        <v>21.015555555555554</v>
      </c>
      <c r="J31" s="33">
        <f>+F31+G31/60</f>
        <v>119.13500000000001</v>
      </c>
      <c r="K31" s="13"/>
      <c r="M31" s="13"/>
      <c r="Q31" s="14"/>
    </row>
  </sheetData>
  <mergeCells count="8">
    <mergeCell ref="B10:D10"/>
    <mergeCell ref="F10:G10"/>
    <mergeCell ref="B1:C1"/>
    <mergeCell ref="J1:L1"/>
    <mergeCell ref="J2:L2"/>
    <mergeCell ref="J3:L3"/>
    <mergeCell ref="B9:G9"/>
    <mergeCell ref="I9:J9"/>
  </mergeCells>
  <pageMargins left="0.7" right="0.7" top="0.75" bottom="0.75" header="0.3" footer="0.3"/>
  <pageSetup scale="64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6892C-C937-4744-B75D-A94F70097DE4}">
  <sheetPr codeName="Sheet19">
    <tabColor rgb="FFFFFF00"/>
    <pageSetUpPr fitToPage="1"/>
  </sheetPr>
  <dimension ref="A1:R31"/>
  <sheetViews>
    <sheetView workbookViewId="0">
      <selection activeCell="D20" sqref="D20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  <col min="13" max="13" width="10.5703125" customWidth="1"/>
    <col min="16" max="16" width="10" bestFit="1" customWidth="1"/>
  </cols>
  <sheetData>
    <row r="1" spans="1:12" x14ac:dyDescent="0.25">
      <c r="A1" t="s">
        <v>41</v>
      </c>
      <c r="B1" s="70">
        <v>44646</v>
      </c>
      <c r="C1" s="70"/>
      <c r="J1" s="71" t="s">
        <v>50</v>
      </c>
      <c r="K1" s="71"/>
      <c r="L1" s="71"/>
    </row>
    <row r="2" spans="1:12" x14ac:dyDescent="0.25">
      <c r="A2" t="s">
        <v>42</v>
      </c>
      <c r="B2" t="s">
        <v>45</v>
      </c>
      <c r="E2" s="64" t="s">
        <v>94</v>
      </c>
      <c r="F2" s="64"/>
      <c r="G2" s="64"/>
      <c r="J2" s="70">
        <v>44646</v>
      </c>
      <c r="K2" s="71"/>
      <c r="L2" s="71"/>
    </row>
    <row r="3" spans="1:12" x14ac:dyDescent="0.25">
      <c r="A3" t="s">
        <v>79</v>
      </c>
      <c r="E3" s="64" t="s">
        <v>95</v>
      </c>
      <c r="F3" s="64"/>
      <c r="G3" s="64"/>
      <c r="J3" s="71" t="s">
        <v>75</v>
      </c>
      <c r="K3" s="71"/>
      <c r="L3" s="71"/>
    </row>
    <row r="4" spans="1:12" x14ac:dyDescent="0.25">
      <c r="A4" t="s">
        <v>72</v>
      </c>
      <c r="B4">
        <v>50</v>
      </c>
      <c r="E4" s="64" t="s">
        <v>96</v>
      </c>
      <c r="F4" s="64"/>
      <c r="G4" s="64"/>
    </row>
    <row r="5" spans="1:12" x14ac:dyDescent="0.25">
      <c r="A5" t="s">
        <v>73</v>
      </c>
      <c r="B5" s="22">
        <v>30</v>
      </c>
      <c r="E5" s="64" t="s">
        <v>97</v>
      </c>
      <c r="F5" s="64"/>
      <c r="G5" s="64"/>
    </row>
    <row r="6" spans="1:12" x14ac:dyDescent="0.25">
      <c r="A6" t="s">
        <v>74</v>
      </c>
      <c r="B6">
        <v>-2.5</v>
      </c>
      <c r="C6" t="s">
        <v>93</v>
      </c>
    </row>
    <row r="9" spans="1:12" x14ac:dyDescent="0.25">
      <c r="A9" s="29"/>
      <c r="B9" s="68" t="s">
        <v>28</v>
      </c>
      <c r="C9" s="68"/>
      <c r="D9" s="68"/>
      <c r="E9" s="68"/>
      <c r="F9" s="68"/>
      <c r="G9" s="68"/>
      <c r="H9" s="32"/>
      <c r="I9" s="72" t="s">
        <v>29</v>
      </c>
      <c r="J9" s="72"/>
    </row>
    <row r="10" spans="1:12" x14ac:dyDescent="0.25">
      <c r="A10" s="25"/>
      <c r="B10" s="67" t="s">
        <v>35</v>
      </c>
      <c r="C10" s="68"/>
      <c r="D10" s="69"/>
      <c r="E10" s="28"/>
      <c r="F10" s="67" t="s">
        <v>36</v>
      </c>
      <c r="G10" s="68"/>
      <c r="H10" s="36"/>
      <c r="I10" s="37" t="s">
        <v>27</v>
      </c>
      <c r="J10" s="37" t="s">
        <v>38</v>
      </c>
    </row>
    <row r="11" spans="1:12" x14ac:dyDescent="0.25">
      <c r="A11" s="36" t="s">
        <v>43</v>
      </c>
      <c r="B11" s="37" t="s">
        <v>30</v>
      </c>
      <c r="C11" s="37" t="s">
        <v>31</v>
      </c>
      <c r="D11" s="37" t="s">
        <v>32</v>
      </c>
      <c r="E11" s="36"/>
      <c r="F11" s="37" t="s">
        <v>33</v>
      </c>
      <c r="G11" s="37" t="s">
        <v>34</v>
      </c>
      <c r="H11" s="26"/>
      <c r="I11" s="37" t="s">
        <v>37</v>
      </c>
      <c r="J11" s="37" t="s">
        <v>39</v>
      </c>
    </row>
    <row r="12" spans="1:12" x14ac:dyDescent="0.25">
      <c r="A12" s="26">
        <v>1</v>
      </c>
      <c r="B12" s="26">
        <v>12</v>
      </c>
      <c r="C12" s="26">
        <v>48</v>
      </c>
      <c r="D12" s="26">
        <v>10</v>
      </c>
      <c r="E12" s="26"/>
      <c r="F12" s="26">
        <v>72</v>
      </c>
      <c r="G12" s="30">
        <v>47.7</v>
      </c>
      <c r="H12" s="26"/>
      <c r="I12" s="33">
        <f t="shared" ref="I12:I17" si="0">+B12+(C12/60)+(D12/3600)</f>
        <v>12.802777777777779</v>
      </c>
      <c r="J12" s="33">
        <f t="shared" ref="J12:J17" si="1">+F12+G12/60</f>
        <v>72.795000000000002</v>
      </c>
    </row>
    <row r="13" spans="1:12" x14ac:dyDescent="0.25">
      <c r="A13" s="26">
        <v>2</v>
      </c>
      <c r="B13" s="26">
        <v>12</v>
      </c>
      <c r="C13" s="26">
        <v>51</v>
      </c>
      <c r="D13" s="26">
        <v>2</v>
      </c>
      <c r="E13" s="26"/>
      <c r="F13" s="26">
        <v>72</v>
      </c>
      <c r="G13" s="30">
        <v>46.5</v>
      </c>
      <c r="H13" s="26"/>
      <c r="I13" s="33">
        <f t="shared" si="0"/>
        <v>12.850555555555555</v>
      </c>
      <c r="J13" s="33">
        <f t="shared" si="1"/>
        <v>72.775000000000006</v>
      </c>
    </row>
    <row r="14" spans="1:12" x14ac:dyDescent="0.25">
      <c r="A14" s="26">
        <v>3</v>
      </c>
      <c r="B14" s="26">
        <v>12</v>
      </c>
      <c r="C14" s="26">
        <v>53</v>
      </c>
      <c r="D14" s="26">
        <v>10</v>
      </c>
      <c r="E14" s="26"/>
      <c r="F14" s="26">
        <v>72</v>
      </c>
      <c r="G14" s="30">
        <v>45.9</v>
      </c>
      <c r="H14" s="26"/>
      <c r="I14" s="33">
        <f t="shared" si="0"/>
        <v>12.886111111111111</v>
      </c>
      <c r="J14" s="33">
        <f t="shared" si="1"/>
        <v>72.765000000000001</v>
      </c>
    </row>
    <row r="15" spans="1:12" x14ac:dyDescent="0.25">
      <c r="A15" s="26">
        <v>4</v>
      </c>
      <c r="B15" s="26">
        <v>12</v>
      </c>
      <c r="C15" s="26">
        <v>57</v>
      </c>
      <c r="D15" s="26">
        <v>38</v>
      </c>
      <c r="E15" s="26"/>
      <c r="F15" s="26">
        <v>72</v>
      </c>
      <c r="G15" s="30">
        <v>45</v>
      </c>
      <c r="H15" s="26"/>
      <c r="I15" s="33">
        <f t="shared" si="0"/>
        <v>12.960555555555555</v>
      </c>
      <c r="J15" s="33">
        <f t="shared" si="1"/>
        <v>72.75</v>
      </c>
    </row>
    <row r="16" spans="1:12" x14ac:dyDescent="0.25">
      <c r="A16" s="27">
        <v>5</v>
      </c>
      <c r="B16" s="26">
        <v>12</v>
      </c>
      <c r="C16" s="27">
        <v>58</v>
      </c>
      <c r="D16" s="27">
        <v>53</v>
      </c>
      <c r="E16" s="27"/>
      <c r="F16" s="26">
        <v>72</v>
      </c>
      <c r="G16" s="31">
        <v>45.3</v>
      </c>
      <c r="H16" s="26"/>
      <c r="I16" s="33">
        <f t="shared" si="0"/>
        <v>12.981388888888889</v>
      </c>
      <c r="J16" s="33">
        <f t="shared" si="1"/>
        <v>72.754999999999995</v>
      </c>
    </row>
    <row r="17" spans="2:18" x14ac:dyDescent="0.25">
      <c r="G17" s="8"/>
      <c r="H17" s="26"/>
      <c r="I17" s="33">
        <f t="shared" si="0"/>
        <v>0</v>
      </c>
      <c r="J17" s="33">
        <f t="shared" si="1"/>
        <v>0</v>
      </c>
    </row>
    <row r="18" spans="2:18" x14ac:dyDescent="0.25">
      <c r="G18" s="8"/>
      <c r="H18" s="26"/>
      <c r="I18" s="26"/>
      <c r="J18" s="26"/>
    </row>
    <row r="19" spans="2:18" x14ac:dyDescent="0.25">
      <c r="F19" t="s">
        <v>40</v>
      </c>
      <c r="H19" s="36"/>
      <c r="I19" s="38">
        <f>AVERAGE(I12:I16)</f>
        <v>12.896277777777778</v>
      </c>
      <c r="J19" s="38">
        <f>AVERAGE(J12:J16)</f>
        <v>72.768000000000001</v>
      </c>
    </row>
    <row r="20" spans="2:18" x14ac:dyDescent="0.25">
      <c r="H20" s="26"/>
      <c r="I20" s="34" t="s">
        <v>52</v>
      </c>
      <c r="J20" s="34">
        <f>+B6/60</f>
        <v>-4.1666666666666664E-2</v>
      </c>
    </row>
    <row r="21" spans="2:18" x14ac:dyDescent="0.25">
      <c r="H21" s="26"/>
      <c r="I21" s="34"/>
      <c r="J21" s="34">
        <f>+J19+J20</f>
        <v>72.726333333333329</v>
      </c>
    </row>
    <row r="22" spans="2:18" x14ac:dyDescent="0.25">
      <c r="H22" s="26"/>
      <c r="I22" s="39">
        <f>ROUND(TRUNC(I19,0),0)</f>
        <v>12</v>
      </c>
      <c r="J22" s="39">
        <f>ROUND(TRUNC(J21,0),0)</f>
        <v>72</v>
      </c>
    </row>
    <row r="23" spans="2:18" x14ac:dyDescent="0.25">
      <c r="H23" s="26"/>
      <c r="I23" s="34">
        <f>(+I19-I22)</f>
        <v>0.89627777777777773</v>
      </c>
      <c r="J23" s="41">
        <f>ROUND((MOD(J21,1)*60),5)</f>
        <v>43.58</v>
      </c>
      <c r="N23" s="62" t="s">
        <v>37</v>
      </c>
    </row>
    <row r="24" spans="2:18" x14ac:dyDescent="0.25">
      <c r="H24" s="27"/>
      <c r="I24" s="40">
        <f>ROUND(MOD(I23,1)*60,1)</f>
        <v>53.8</v>
      </c>
      <c r="J24" s="35"/>
      <c r="L24" s="32"/>
      <c r="N24" s="62"/>
      <c r="O24" s="32"/>
      <c r="P24" s="62" t="s">
        <v>77</v>
      </c>
      <c r="Q24" s="62" t="s">
        <v>52</v>
      </c>
      <c r="R24" s="62" t="s">
        <v>78</v>
      </c>
    </row>
    <row r="25" spans="2:18" x14ac:dyDescent="0.25">
      <c r="I25" s="10"/>
      <c r="L25" s="36"/>
      <c r="M25" s="43">
        <v>12.88</v>
      </c>
      <c r="N25" s="36"/>
      <c r="O25" s="36"/>
      <c r="P25" s="38">
        <f>-0.2276*12.88+75.703</f>
        <v>72.771512000000001</v>
      </c>
      <c r="Q25" s="36"/>
      <c r="R25" s="46"/>
    </row>
    <row r="26" spans="2:18" x14ac:dyDescent="0.25">
      <c r="I26" t="s">
        <v>53</v>
      </c>
      <c r="L26" s="44">
        <v>12</v>
      </c>
      <c r="M26" s="52">
        <f>(+M25-L26)*60</f>
        <v>52.800000000000047</v>
      </c>
      <c r="N26" s="27"/>
      <c r="O26" s="44">
        <v>72</v>
      </c>
      <c r="P26" s="47">
        <f>60*(P25-O26)</f>
        <v>46.290720000000078</v>
      </c>
      <c r="Q26" s="47">
        <f>+B6/60</f>
        <v>-4.1666666666666664E-2</v>
      </c>
      <c r="R26" s="47">
        <f>+P26+Q26</f>
        <v>46.249053333333414</v>
      </c>
    </row>
    <row r="29" spans="2:18" x14ac:dyDescent="0.25">
      <c r="B29" t="s">
        <v>76</v>
      </c>
      <c r="G29" s="8"/>
      <c r="I29" s="9"/>
      <c r="J29" s="9"/>
    </row>
    <row r="30" spans="2:18" x14ac:dyDescent="0.25">
      <c r="G30" s="8"/>
      <c r="I30" s="9"/>
      <c r="J30" s="9"/>
    </row>
    <row r="31" spans="2:18" x14ac:dyDescent="0.25">
      <c r="K31" s="13"/>
      <c r="M31" s="13"/>
      <c r="Q31" s="14"/>
    </row>
  </sheetData>
  <mergeCells count="8">
    <mergeCell ref="B10:D10"/>
    <mergeCell ref="F10:G10"/>
    <mergeCell ref="B1:C1"/>
    <mergeCell ref="J1:L1"/>
    <mergeCell ref="J2:L2"/>
    <mergeCell ref="J3:L3"/>
    <mergeCell ref="B9:G9"/>
    <mergeCell ref="I9:J9"/>
  </mergeCells>
  <pageMargins left="0.7" right="0.7" top="0.75" bottom="0.75" header="0.3" footer="0.3"/>
  <pageSetup scale="64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A1B3-0A3D-4537-8344-6105E69130AB}">
  <sheetPr codeName="Sheet18">
    <pageSetUpPr fitToPage="1"/>
  </sheetPr>
  <dimension ref="A1:R31"/>
  <sheetViews>
    <sheetView workbookViewId="0">
      <selection activeCell="H28" sqref="H28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  <col min="13" max="13" width="10.5703125" customWidth="1"/>
    <col min="16" max="16" width="10" bestFit="1" customWidth="1"/>
  </cols>
  <sheetData>
    <row r="1" spans="1:12" x14ac:dyDescent="0.25">
      <c r="A1" t="s">
        <v>41</v>
      </c>
      <c r="B1" s="70">
        <v>44630</v>
      </c>
      <c r="C1" s="70"/>
      <c r="J1" s="71" t="s">
        <v>50</v>
      </c>
      <c r="K1" s="71"/>
      <c r="L1" s="71"/>
    </row>
    <row r="2" spans="1:12" x14ac:dyDescent="0.25">
      <c r="A2" t="s">
        <v>42</v>
      </c>
      <c r="B2" t="s">
        <v>45</v>
      </c>
      <c r="J2" s="70">
        <v>44630</v>
      </c>
      <c r="K2" s="71"/>
      <c r="L2" s="71"/>
    </row>
    <row r="3" spans="1:12" x14ac:dyDescent="0.25">
      <c r="A3" t="s">
        <v>79</v>
      </c>
      <c r="J3" s="71" t="s">
        <v>75</v>
      </c>
      <c r="K3" s="71"/>
      <c r="L3" s="71"/>
    </row>
    <row r="4" spans="1:12" x14ac:dyDescent="0.25">
      <c r="A4" t="s">
        <v>72</v>
      </c>
      <c r="B4">
        <v>50</v>
      </c>
    </row>
    <row r="5" spans="1:12" x14ac:dyDescent="0.25">
      <c r="A5" t="s">
        <v>73</v>
      </c>
      <c r="B5" s="22">
        <v>30</v>
      </c>
    </row>
    <row r="6" spans="1:12" x14ac:dyDescent="0.25">
      <c r="A6" t="s">
        <v>74</v>
      </c>
      <c r="B6">
        <v>-2.8</v>
      </c>
    </row>
    <row r="9" spans="1:12" x14ac:dyDescent="0.25">
      <c r="A9" s="29"/>
      <c r="B9" s="68" t="s">
        <v>28</v>
      </c>
      <c r="C9" s="68"/>
      <c r="D9" s="68"/>
      <c r="E9" s="68"/>
      <c r="F9" s="68"/>
      <c r="G9" s="68"/>
      <c r="H9" s="32"/>
      <c r="I9" s="72" t="s">
        <v>29</v>
      </c>
      <c r="J9" s="72"/>
    </row>
    <row r="10" spans="1:12" x14ac:dyDescent="0.25">
      <c r="A10" s="25"/>
      <c r="B10" s="67" t="s">
        <v>35</v>
      </c>
      <c r="C10" s="68"/>
      <c r="D10" s="69"/>
      <c r="E10" s="28"/>
      <c r="F10" s="67" t="s">
        <v>36</v>
      </c>
      <c r="G10" s="68"/>
      <c r="H10" s="36"/>
      <c r="I10" s="37" t="s">
        <v>27</v>
      </c>
      <c r="J10" s="37" t="s">
        <v>38</v>
      </c>
    </row>
    <row r="11" spans="1:12" x14ac:dyDescent="0.25">
      <c r="A11" s="36" t="s">
        <v>43</v>
      </c>
      <c r="B11" s="37" t="s">
        <v>30</v>
      </c>
      <c r="C11" s="37" t="s">
        <v>31</v>
      </c>
      <c r="D11" s="37" t="s">
        <v>32</v>
      </c>
      <c r="E11" s="36"/>
      <c r="F11" s="37" t="s">
        <v>33</v>
      </c>
      <c r="G11" s="37" t="s">
        <v>34</v>
      </c>
      <c r="H11" s="26"/>
      <c r="I11" s="37" t="s">
        <v>37</v>
      </c>
      <c r="J11" s="37" t="s">
        <v>39</v>
      </c>
    </row>
    <row r="12" spans="1:12" x14ac:dyDescent="0.25">
      <c r="A12" s="26">
        <v>1</v>
      </c>
      <c r="B12" s="26">
        <v>18</v>
      </c>
      <c r="C12" s="26">
        <v>49</v>
      </c>
      <c r="D12" s="26">
        <v>47</v>
      </c>
      <c r="E12" s="26"/>
      <c r="F12" s="26">
        <v>93</v>
      </c>
      <c r="G12" s="30">
        <v>42.8</v>
      </c>
      <c r="H12" s="26"/>
      <c r="I12" s="33">
        <f t="shared" ref="I12:I17" si="0">+B12+(C12/60)+(D12/3600)</f>
        <v>18.829722222222223</v>
      </c>
      <c r="J12" s="33">
        <f t="shared" ref="J12:J17" si="1">+F12+G12/60</f>
        <v>93.713333333333338</v>
      </c>
    </row>
    <row r="13" spans="1:12" x14ac:dyDescent="0.25">
      <c r="A13" s="26">
        <v>2</v>
      </c>
      <c r="B13" s="26">
        <v>18</v>
      </c>
      <c r="C13" s="26">
        <v>51</v>
      </c>
      <c r="D13" s="26">
        <v>25</v>
      </c>
      <c r="E13" s="26"/>
      <c r="F13" s="26">
        <v>93</v>
      </c>
      <c r="G13" s="30">
        <v>43.2</v>
      </c>
      <c r="H13" s="26"/>
      <c r="I13" s="33">
        <f t="shared" si="0"/>
        <v>18.856944444444444</v>
      </c>
      <c r="J13" s="33">
        <f t="shared" si="1"/>
        <v>93.72</v>
      </c>
    </row>
    <row r="14" spans="1:12" x14ac:dyDescent="0.25">
      <c r="A14" s="26">
        <v>3</v>
      </c>
      <c r="B14" s="26">
        <v>18</v>
      </c>
      <c r="C14" s="26">
        <v>52</v>
      </c>
      <c r="D14" s="26">
        <v>32</v>
      </c>
      <c r="E14" s="26"/>
      <c r="F14" s="26">
        <v>93</v>
      </c>
      <c r="G14" s="30">
        <v>43.5</v>
      </c>
      <c r="H14" s="26"/>
      <c r="I14" s="33">
        <f t="shared" si="0"/>
        <v>18.875555555555557</v>
      </c>
      <c r="J14" s="33">
        <f t="shared" si="1"/>
        <v>93.724999999999994</v>
      </c>
    </row>
    <row r="15" spans="1:12" x14ac:dyDescent="0.25">
      <c r="A15" s="26">
        <v>4</v>
      </c>
      <c r="B15" s="26">
        <v>18</v>
      </c>
      <c r="C15" s="26">
        <v>53</v>
      </c>
      <c r="D15" s="26">
        <v>34</v>
      </c>
      <c r="E15" s="26"/>
      <c r="F15" s="26">
        <v>93</v>
      </c>
      <c r="G15" s="30">
        <v>43.8</v>
      </c>
      <c r="H15" s="26"/>
      <c r="I15" s="33">
        <f t="shared" si="0"/>
        <v>18.892777777777777</v>
      </c>
      <c r="J15" s="33">
        <f t="shared" si="1"/>
        <v>93.73</v>
      </c>
    </row>
    <row r="16" spans="1:12" x14ac:dyDescent="0.25">
      <c r="A16" s="27">
        <v>5</v>
      </c>
      <c r="B16" s="27">
        <v>18</v>
      </c>
      <c r="C16" s="27">
        <v>54</v>
      </c>
      <c r="D16" s="27">
        <v>55</v>
      </c>
      <c r="E16" s="27"/>
      <c r="F16" s="27">
        <v>93</v>
      </c>
      <c r="G16" s="31">
        <v>44</v>
      </c>
      <c r="H16" s="26"/>
      <c r="I16" s="33">
        <f t="shared" si="0"/>
        <v>18.915277777777778</v>
      </c>
      <c r="J16" s="33">
        <f t="shared" si="1"/>
        <v>93.733333333333334</v>
      </c>
    </row>
    <row r="17" spans="2:18" x14ac:dyDescent="0.25">
      <c r="G17" s="8"/>
      <c r="H17" s="26"/>
      <c r="I17" s="33">
        <f t="shared" si="0"/>
        <v>0</v>
      </c>
      <c r="J17" s="33">
        <f t="shared" si="1"/>
        <v>0</v>
      </c>
    </row>
    <row r="18" spans="2:18" x14ac:dyDescent="0.25">
      <c r="G18" s="8"/>
      <c r="H18" s="26"/>
      <c r="I18" s="26"/>
      <c r="J18" s="26"/>
    </row>
    <row r="19" spans="2:18" x14ac:dyDescent="0.25">
      <c r="F19" t="s">
        <v>40</v>
      </c>
      <c r="H19" s="36"/>
      <c r="I19" s="38">
        <f>AVERAGE(I12:I16)</f>
        <v>18.874055555555554</v>
      </c>
      <c r="J19" s="38">
        <f>AVERAGE(J12:J16)</f>
        <v>93.724333333333334</v>
      </c>
    </row>
    <row r="20" spans="2:18" x14ac:dyDescent="0.25">
      <c r="H20" s="26"/>
      <c r="I20" s="34" t="s">
        <v>52</v>
      </c>
      <c r="J20" s="34">
        <f>+B6/60</f>
        <v>-4.6666666666666662E-2</v>
      </c>
    </row>
    <row r="21" spans="2:18" x14ac:dyDescent="0.25">
      <c r="H21" s="26"/>
      <c r="I21" s="34"/>
      <c r="J21" s="34">
        <f>+J19+J20</f>
        <v>93.677666666666667</v>
      </c>
    </row>
    <row r="22" spans="2:18" x14ac:dyDescent="0.25">
      <c r="H22" s="26"/>
      <c r="I22" s="39">
        <f>ROUND(TRUNC(I19,0),0)</f>
        <v>18</v>
      </c>
      <c r="J22" s="39">
        <f>ROUND(TRUNC(J21,0),0)</f>
        <v>93</v>
      </c>
    </row>
    <row r="23" spans="2:18" x14ac:dyDescent="0.25">
      <c r="H23" s="26"/>
      <c r="I23" s="34">
        <f>(+I19-I22)</f>
        <v>0.87405555555555381</v>
      </c>
      <c r="J23" s="41">
        <f>ROUND((MOD(J21,1)*60),5)</f>
        <v>40.659999999999997</v>
      </c>
      <c r="N23" s="50" t="s">
        <v>37</v>
      </c>
    </row>
    <row r="24" spans="2:18" x14ac:dyDescent="0.25">
      <c r="H24" s="27"/>
      <c r="I24" s="40">
        <f>ROUND(MOD(I23,1)*60,1)</f>
        <v>52.4</v>
      </c>
      <c r="J24" s="35"/>
      <c r="L24" s="32"/>
      <c r="N24" s="50"/>
      <c r="O24" s="32"/>
      <c r="P24" s="50" t="s">
        <v>77</v>
      </c>
      <c r="Q24" s="50" t="s">
        <v>52</v>
      </c>
      <c r="R24" s="50" t="s">
        <v>78</v>
      </c>
    </row>
    <row r="25" spans="2:18" x14ac:dyDescent="0.25">
      <c r="I25" s="10"/>
      <c r="L25" s="36"/>
      <c r="M25" s="43">
        <v>18.899999999999999</v>
      </c>
      <c r="N25" s="36"/>
      <c r="O25" s="36"/>
      <c r="P25" s="38">
        <f>18.9*0.2413+89.171</f>
        <v>93.731570000000005</v>
      </c>
      <c r="Q25" s="36"/>
      <c r="R25" s="46"/>
    </row>
    <row r="26" spans="2:18" x14ac:dyDescent="0.25">
      <c r="I26" t="s">
        <v>53</v>
      </c>
      <c r="L26" s="44">
        <v>18</v>
      </c>
      <c r="M26" s="52">
        <f>(+M25-L26)*60</f>
        <v>53.999999999999915</v>
      </c>
      <c r="N26" s="27"/>
      <c r="O26" s="44">
        <v>93</v>
      </c>
      <c r="P26" s="47">
        <f>60*(P25-O26)</f>
        <v>43.894200000000296</v>
      </c>
      <c r="Q26" s="47">
        <f>+B6/60</f>
        <v>-4.6666666666666662E-2</v>
      </c>
      <c r="R26" s="47">
        <f>+P26+Q26</f>
        <v>43.847533333333629</v>
      </c>
    </row>
    <row r="29" spans="2:18" x14ac:dyDescent="0.25">
      <c r="B29" t="s">
        <v>76</v>
      </c>
      <c r="G29" s="8"/>
      <c r="I29" s="9"/>
      <c r="J29" s="9"/>
    </row>
    <row r="30" spans="2:18" x14ac:dyDescent="0.25">
      <c r="G30" s="8"/>
      <c r="I30" s="9"/>
      <c r="J30" s="9"/>
    </row>
    <row r="31" spans="2:18" x14ac:dyDescent="0.25">
      <c r="K31" s="13"/>
      <c r="M31" s="13"/>
      <c r="Q31" s="14"/>
    </row>
  </sheetData>
  <mergeCells count="8">
    <mergeCell ref="B10:D10"/>
    <mergeCell ref="F10:G10"/>
    <mergeCell ref="B1:C1"/>
    <mergeCell ref="J1:L1"/>
    <mergeCell ref="J2:L2"/>
    <mergeCell ref="J3:L3"/>
    <mergeCell ref="B9:G9"/>
    <mergeCell ref="I9:J9"/>
  </mergeCells>
  <pageMargins left="0.7" right="0.7" top="0.75" bottom="0.75" header="0.3" footer="0.3"/>
  <pageSetup scale="64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7F476-A1D4-4DEF-8096-D5A6883CBE83}">
  <sheetPr codeName="Sheet17">
    <pageSetUpPr fitToPage="1"/>
  </sheetPr>
  <dimension ref="A1:R31"/>
  <sheetViews>
    <sheetView topLeftCell="A7" workbookViewId="0">
      <selection activeCell="H28" sqref="H28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</cols>
  <sheetData>
    <row r="1" spans="1:12" x14ac:dyDescent="0.25">
      <c r="A1" t="s">
        <v>41</v>
      </c>
      <c r="B1" s="70">
        <v>44159</v>
      </c>
      <c r="C1" s="70"/>
      <c r="J1" s="71" t="s">
        <v>50</v>
      </c>
      <c r="K1" s="71"/>
      <c r="L1" s="71"/>
    </row>
    <row r="2" spans="1:12" x14ac:dyDescent="0.25">
      <c r="A2" t="s">
        <v>42</v>
      </c>
      <c r="B2" t="s">
        <v>45</v>
      </c>
      <c r="J2" s="70">
        <v>44159</v>
      </c>
      <c r="K2" s="71"/>
      <c r="L2" s="71"/>
    </row>
    <row r="3" spans="1:12" x14ac:dyDescent="0.25">
      <c r="A3" t="s">
        <v>79</v>
      </c>
      <c r="J3" s="71" t="s">
        <v>75</v>
      </c>
      <c r="K3" s="71"/>
      <c r="L3" s="71"/>
    </row>
    <row r="4" spans="1:12" x14ac:dyDescent="0.25">
      <c r="A4" t="s">
        <v>72</v>
      </c>
      <c r="B4">
        <v>38</v>
      </c>
    </row>
    <row r="5" spans="1:12" x14ac:dyDescent="0.25">
      <c r="A5" t="s">
        <v>73</v>
      </c>
      <c r="B5" s="22">
        <v>30</v>
      </c>
    </row>
    <row r="6" spans="1:12" x14ac:dyDescent="0.25">
      <c r="A6" t="s">
        <v>74</v>
      </c>
      <c r="B6">
        <v>-2.6</v>
      </c>
    </row>
    <row r="9" spans="1:12" x14ac:dyDescent="0.25">
      <c r="A9" s="29"/>
      <c r="B9" s="68" t="s">
        <v>28</v>
      </c>
      <c r="C9" s="68"/>
      <c r="D9" s="68"/>
      <c r="E9" s="68"/>
      <c r="F9" s="68"/>
      <c r="G9" s="68"/>
      <c r="H9" s="32"/>
      <c r="I9" s="72" t="s">
        <v>29</v>
      </c>
      <c r="J9" s="72"/>
    </row>
    <row r="10" spans="1:12" x14ac:dyDescent="0.25">
      <c r="A10" s="25"/>
      <c r="B10" s="67" t="s">
        <v>35</v>
      </c>
      <c r="C10" s="68"/>
      <c r="D10" s="69"/>
      <c r="E10" s="28"/>
      <c r="F10" s="67" t="s">
        <v>36</v>
      </c>
      <c r="G10" s="68"/>
      <c r="H10" s="36"/>
      <c r="I10" s="37" t="s">
        <v>27</v>
      </c>
      <c r="J10" s="37" t="s">
        <v>38</v>
      </c>
    </row>
    <row r="11" spans="1:12" x14ac:dyDescent="0.25">
      <c r="A11" s="36" t="s">
        <v>43</v>
      </c>
      <c r="B11" s="37" t="s">
        <v>30</v>
      </c>
      <c r="C11" s="37" t="s">
        <v>31</v>
      </c>
      <c r="D11" s="37" t="s">
        <v>32</v>
      </c>
      <c r="E11" s="36"/>
      <c r="F11" s="37" t="s">
        <v>33</v>
      </c>
      <c r="G11" s="37" t="s">
        <v>34</v>
      </c>
      <c r="H11" s="26"/>
      <c r="I11" s="37" t="s">
        <v>37</v>
      </c>
      <c r="J11" s="37" t="s">
        <v>39</v>
      </c>
    </row>
    <row r="12" spans="1:12" x14ac:dyDescent="0.25">
      <c r="A12" s="26">
        <v>1</v>
      </c>
      <c r="B12" s="26">
        <v>21</v>
      </c>
      <c r="C12" s="26">
        <v>45</v>
      </c>
      <c r="D12" s="26">
        <v>29</v>
      </c>
      <c r="E12" s="26"/>
      <c r="F12" s="26">
        <v>68</v>
      </c>
      <c r="G12" s="30">
        <v>22</v>
      </c>
      <c r="H12" s="26"/>
      <c r="I12" s="33">
        <f t="shared" ref="I12:I17" si="0">+B12+(C12/60)+(D12/3600)</f>
        <v>21.758055555555554</v>
      </c>
      <c r="J12" s="33">
        <f t="shared" ref="J12:J17" si="1">+F12+G12/60</f>
        <v>68.36666666666666</v>
      </c>
    </row>
    <row r="13" spans="1:12" x14ac:dyDescent="0.25">
      <c r="A13" s="26">
        <v>2</v>
      </c>
      <c r="B13" s="26">
        <v>21</v>
      </c>
      <c r="C13" s="26">
        <v>47</v>
      </c>
      <c r="D13" s="26">
        <v>9</v>
      </c>
      <c r="E13" s="26"/>
      <c r="F13" s="26">
        <v>68</v>
      </c>
      <c r="G13" s="30">
        <v>22</v>
      </c>
      <c r="H13" s="26"/>
      <c r="I13" s="33">
        <f t="shared" si="0"/>
        <v>21.785833333333336</v>
      </c>
      <c r="J13" s="33">
        <f t="shared" si="1"/>
        <v>68.36666666666666</v>
      </c>
    </row>
    <row r="14" spans="1:12" x14ac:dyDescent="0.25">
      <c r="A14" s="26">
        <v>3</v>
      </c>
      <c r="B14" s="26">
        <v>21</v>
      </c>
      <c r="C14" s="26">
        <v>48</v>
      </c>
      <c r="D14" s="26">
        <v>12</v>
      </c>
      <c r="E14" s="26"/>
      <c r="F14" s="26">
        <v>68</v>
      </c>
      <c r="G14" s="30">
        <v>22.8</v>
      </c>
      <c r="H14" s="26"/>
      <c r="I14" s="33">
        <f t="shared" si="0"/>
        <v>21.803333333333335</v>
      </c>
      <c r="J14" s="33">
        <f t="shared" si="1"/>
        <v>68.38</v>
      </c>
    </row>
    <row r="15" spans="1:12" x14ac:dyDescent="0.25">
      <c r="A15" s="26">
        <v>5</v>
      </c>
      <c r="B15" s="26">
        <v>21</v>
      </c>
      <c r="C15" s="26">
        <v>50</v>
      </c>
      <c r="D15" s="26">
        <v>35</v>
      </c>
      <c r="E15" s="26"/>
      <c r="F15" s="26">
        <v>68</v>
      </c>
      <c r="G15" s="30">
        <v>23.2</v>
      </c>
      <c r="H15" s="26"/>
      <c r="I15" s="33">
        <f t="shared" si="0"/>
        <v>21.843055555555555</v>
      </c>
      <c r="J15" s="33">
        <f t="shared" si="1"/>
        <v>68.38666666666667</v>
      </c>
    </row>
    <row r="16" spans="1:12" x14ac:dyDescent="0.25">
      <c r="A16" s="27">
        <v>6</v>
      </c>
      <c r="B16" s="27">
        <v>21</v>
      </c>
      <c r="C16" s="27">
        <v>51</v>
      </c>
      <c r="D16" s="27">
        <v>30</v>
      </c>
      <c r="E16" s="27"/>
      <c r="F16" s="27">
        <v>68</v>
      </c>
      <c r="G16" s="31">
        <v>23.2</v>
      </c>
      <c r="H16" s="26"/>
      <c r="I16" s="33">
        <f t="shared" si="0"/>
        <v>21.858333333333334</v>
      </c>
      <c r="J16" s="33">
        <f t="shared" si="1"/>
        <v>68.38666666666667</v>
      </c>
    </row>
    <row r="17" spans="1:18" x14ac:dyDescent="0.25">
      <c r="G17" s="8"/>
      <c r="H17" s="26"/>
      <c r="I17" s="33">
        <f t="shared" si="0"/>
        <v>0</v>
      </c>
      <c r="J17" s="33">
        <f t="shared" si="1"/>
        <v>0</v>
      </c>
    </row>
    <row r="18" spans="1:18" x14ac:dyDescent="0.25">
      <c r="G18" s="8"/>
      <c r="H18" s="26"/>
      <c r="I18" s="26"/>
      <c r="J18" s="26"/>
    </row>
    <row r="19" spans="1:18" x14ac:dyDescent="0.25">
      <c r="A19" t="s">
        <v>40</v>
      </c>
      <c r="H19" s="36"/>
      <c r="I19" s="38">
        <f>AVERAGE(I12:I16)</f>
        <v>21.809722222222224</v>
      </c>
      <c r="J19" s="38">
        <f>AVERAGE(J12:J16)</f>
        <v>68.377333333333326</v>
      </c>
    </row>
    <row r="20" spans="1:18" x14ac:dyDescent="0.25">
      <c r="H20" s="26"/>
      <c r="I20" s="34" t="s">
        <v>52</v>
      </c>
      <c r="J20" s="34">
        <f>+B6/60</f>
        <v>-4.3333333333333335E-2</v>
      </c>
    </row>
    <row r="21" spans="1:18" x14ac:dyDescent="0.25">
      <c r="H21" s="26"/>
      <c r="I21" s="34"/>
      <c r="J21" s="34">
        <f>+J19+J20</f>
        <v>68.333999999999989</v>
      </c>
    </row>
    <row r="22" spans="1:18" x14ac:dyDescent="0.25">
      <c r="H22" s="26"/>
      <c r="I22" s="39">
        <f>ROUND(TRUNC(I19,0),0)</f>
        <v>21</v>
      </c>
      <c r="J22" s="39">
        <f>ROUND(TRUNC(J21,0),0)</f>
        <v>68</v>
      </c>
    </row>
    <row r="23" spans="1:18" x14ac:dyDescent="0.25">
      <c r="H23" s="26"/>
      <c r="I23" s="34">
        <f>(+I19-I22)</f>
        <v>0.80972222222222356</v>
      </c>
      <c r="J23" s="41">
        <f>ROUND((MOD(J21,1)*60),5)</f>
        <v>20.04</v>
      </c>
    </row>
    <row r="24" spans="1:18" x14ac:dyDescent="0.25">
      <c r="H24" s="27"/>
      <c r="I24" s="40">
        <f>ROUND(MOD(I23,1)*60,1)</f>
        <v>48.6</v>
      </c>
      <c r="J24" s="35"/>
      <c r="L24" s="32"/>
      <c r="M24" s="49" t="s">
        <v>37</v>
      </c>
      <c r="N24" s="49"/>
      <c r="O24" s="32"/>
      <c r="P24" s="49" t="s">
        <v>77</v>
      </c>
      <c r="Q24" s="49" t="s">
        <v>52</v>
      </c>
      <c r="R24" s="49" t="s">
        <v>78</v>
      </c>
    </row>
    <row r="25" spans="1:18" x14ac:dyDescent="0.25">
      <c r="I25" s="10"/>
      <c r="L25" s="36"/>
      <c r="M25" s="43">
        <v>21.8</v>
      </c>
      <c r="N25" s="36"/>
      <c r="O25" s="36"/>
      <c r="P25" s="36">
        <f>21.8*0.23+63.361</f>
        <v>68.375</v>
      </c>
      <c r="Q25" s="36"/>
      <c r="R25" s="46"/>
    </row>
    <row r="26" spans="1:18" x14ac:dyDescent="0.25">
      <c r="I26" t="s">
        <v>53</v>
      </c>
      <c r="L26" s="44">
        <v>21</v>
      </c>
      <c r="M26" s="51">
        <f>(+M25-L26)*60</f>
        <v>48.000000000000043</v>
      </c>
      <c r="N26" s="27"/>
      <c r="O26" s="44">
        <v>68</v>
      </c>
      <c r="P26" s="47">
        <f>60*(P25-O26)</f>
        <v>22.5</v>
      </c>
      <c r="Q26" s="47">
        <f>+B6/60</f>
        <v>-4.3333333333333335E-2</v>
      </c>
      <c r="R26" s="47">
        <f>+P26+Q26</f>
        <v>22.456666666666667</v>
      </c>
    </row>
    <row r="29" spans="1:18" x14ac:dyDescent="0.25">
      <c r="B29" t="s">
        <v>76</v>
      </c>
      <c r="G29" s="8"/>
      <c r="I29" s="9"/>
      <c r="J29" s="9"/>
    </row>
    <row r="30" spans="1:18" x14ac:dyDescent="0.25">
      <c r="G30" s="8"/>
      <c r="I30" s="9"/>
      <c r="J30" s="9"/>
    </row>
    <row r="31" spans="1:18" x14ac:dyDescent="0.25">
      <c r="K31" s="13"/>
      <c r="M31" s="13"/>
      <c r="Q31" s="14"/>
    </row>
  </sheetData>
  <mergeCells count="8">
    <mergeCell ref="B10:D10"/>
    <mergeCell ref="F10:G10"/>
    <mergeCell ref="B1:C1"/>
    <mergeCell ref="J1:L1"/>
    <mergeCell ref="J2:L2"/>
    <mergeCell ref="J3:L3"/>
    <mergeCell ref="B9:G9"/>
    <mergeCell ref="I9:J9"/>
  </mergeCells>
  <pageMargins left="0.7" right="0.7" top="0.75" bottom="0.75" header="0.3" footer="0.3"/>
  <pageSetup scale="65" orientation="landscape" horizontalDpi="4294967293" vertic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D63A-A3A5-4AE5-8D96-71BD2CE0B891}">
  <sheetPr codeName="Sheet16">
    <pageSetUpPr fitToPage="1"/>
  </sheetPr>
  <dimension ref="A1:R31"/>
  <sheetViews>
    <sheetView workbookViewId="0">
      <selection activeCell="H28" sqref="H28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</cols>
  <sheetData>
    <row r="1" spans="1:12" x14ac:dyDescent="0.25">
      <c r="A1" t="s">
        <v>41</v>
      </c>
      <c r="B1" s="70">
        <v>44156</v>
      </c>
      <c r="C1" s="70"/>
      <c r="J1" s="71" t="s">
        <v>50</v>
      </c>
      <c r="K1" s="71"/>
      <c r="L1" s="71"/>
    </row>
    <row r="2" spans="1:12" x14ac:dyDescent="0.25">
      <c r="A2" t="s">
        <v>42</v>
      </c>
      <c r="B2" t="s">
        <v>45</v>
      </c>
      <c r="J2" s="70">
        <v>44156</v>
      </c>
      <c r="K2" s="71"/>
      <c r="L2" s="71"/>
    </row>
    <row r="3" spans="1:12" x14ac:dyDescent="0.25">
      <c r="A3" t="s">
        <v>71</v>
      </c>
      <c r="J3" s="71" t="s">
        <v>75</v>
      </c>
      <c r="K3" s="71"/>
      <c r="L3" s="71"/>
    </row>
    <row r="4" spans="1:12" x14ac:dyDescent="0.25">
      <c r="A4" t="s">
        <v>72</v>
      </c>
      <c r="B4">
        <v>65</v>
      </c>
    </row>
    <row r="5" spans="1:12" x14ac:dyDescent="0.25">
      <c r="A5" t="s">
        <v>73</v>
      </c>
      <c r="B5" s="22">
        <v>30</v>
      </c>
    </row>
    <row r="6" spans="1:12" x14ac:dyDescent="0.25">
      <c r="A6" t="s">
        <v>74</v>
      </c>
      <c r="B6">
        <v>-2.5</v>
      </c>
    </row>
    <row r="9" spans="1:12" x14ac:dyDescent="0.25">
      <c r="A9" s="29"/>
      <c r="B9" s="68" t="s">
        <v>28</v>
      </c>
      <c r="C9" s="68"/>
      <c r="D9" s="68"/>
      <c r="E9" s="68"/>
      <c r="F9" s="68"/>
      <c r="G9" s="68"/>
      <c r="H9" s="32"/>
      <c r="I9" s="72" t="s">
        <v>29</v>
      </c>
      <c r="J9" s="72"/>
    </row>
    <row r="10" spans="1:12" x14ac:dyDescent="0.25">
      <c r="A10" s="25"/>
      <c r="B10" s="67" t="s">
        <v>35</v>
      </c>
      <c r="C10" s="68"/>
      <c r="D10" s="69"/>
      <c r="E10" s="28"/>
      <c r="F10" s="67" t="s">
        <v>36</v>
      </c>
      <c r="G10" s="68"/>
      <c r="H10" s="36"/>
      <c r="I10" s="37" t="s">
        <v>27</v>
      </c>
      <c r="J10" s="37" t="s">
        <v>38</v>
      </c>
    </row>
    <row r="11" spans="1:12" x14ac:dyDescent="0.25">
      <c r="A11" s="36" t="s">
        <v>43</v>
      </c>
      <c r="B11" s="37" t="s">
        <v>30</v>
      </c>
      <c r="C11" s="37" t="s">
        <v>31</v>
      </c>
      <c r="D11" s="37" t="s">
        <v>32</v>
      </c>
      <c r="E11" s="36"/>
      <c r="F11" s="37" t="s">
        <v>33</v>
      </c>
      <c r="G11" s="37" t="s">
        <v>34</v>
      </c>
      <c r="H11" s="26"/>
      <c r="I11" s="37" t="s">
        <v>37</v>
      </c>
      <c r="J11" s="37" t="s">
        <v>39</v>
      </c>
    </row>
    <row r="12" spans="1:12" x14ac:dyDescent="0.25">
      <c r="A12" s="26">
        <v>1</v>
      </c>
      <c r="B12" s="26">
        <v>19</v>
      </c>
      <c r="C12" s="26">
        <v>21</v>
      </c>
      <c r="D12" s="26">
        <v>54</v>
      </c>
      <c r="E12" s="26"/>
      <c r="F12" s="26">
        <v>85</v>
      </c>
      <c r="G12" s="30">
        <v>14.2</v>
      </c>
      <c r="H12" s="26"/>
      <c r="I12" s="33">
        <f>+B12+(C12/60)+(D12/3600)</f>
        <v>19.365000000000002</v>
      </c>
      <c r="J12" s="33">
        <f>+F12+G12/60</f>
        <v>85.236666666666665</v>
      </c>
    </row>
    <row r="13" spans="1:12" x14ac:dyDescent="0.25">
      <c r="A13" s="26">
        <v>2</v>
      </c>
      <c r="B13" s="26">
        <v>19</v>
      </c>
      <c r="C13" s="26">
        <v>23</v>
      </c>
      <c r="D13" s="26">
        <v>5</v>
      </c>
      <c r="E13" s="26"/>
      <c r="F13" s="26">
        <v>85</v>
      </c>
      <c r="G13" s="30">
        <v>13.1</v>
      </c>
      <c r="H13" s="26"/>
      <c r="I13" s="33">
        <f>+B13+(C13/60)+(D13/3600)</f>
        <v>19.384722222222223</v>
      </c>
      <c r="J13" s="33">
        <f>+F13+G13/60</f>
        <v>85.218333333333334</v>
      </c>
    </row>
    <row r="14" spans="1:12" x14ac:dyDescent="0.25">
      <c r="A14" s="26"/>
      <c r="B14" s="26"/>
      <c r="C14" s="26"/>
      <c r="D14" s="26"/>
      <c r="E14" s="26"/>
      <c r="F14" s="26"/>
      <c r="G14" s="30"/>
      <c r="H14" s="26"/>
      <c r="I14" s="33"/>
      <c r="J14" s="33"/>
    </row>
    <row r="15" spans="1:12" x14ac:dyDescent="0.25">
      <c r="A15" s="26"/>
      <c r="B15" s="26"/>
      <c r="C15" s="26"/>
      <c r="D15" s="26"/>
      <c r="E15" s="26"/>
      <c r="F15" s="26"/>
      <c r="G15" s="30"/>
      <c r="H15" s="26"/>
      <c r="I15" s="33"/>
      <c r="J15" s="33"/>
    </row>
    <row r="16" spans="1:12" x14ac:dyDescent="0.25">
      <c r="A16" s="27"/>
      <c r="B16" s="27"/>
      <c r="C16" s="27"/>
      <c r="D16" s="27"/>
      <c r="E16" s="27"/>
      <c r="F16" s="27"/>
      <c r="G16" s="31"/>
      <c r="H16" s="26"/>
      <c r="I16" s="33"/>
      <c r="J16" s="33"/>
    </row>
    <row r="17" spans="1:18" x14ac:dyDescent="0.25">
      <c r="G17" s="8"/>
      <c r="H17" s="26"/>
      <c r="I17" s="33"/>
      <c r="J17" s="33"/>
    </row>
    <row r="18" spans="1:18" x14ac:dyDescent="0.25">
      <c r="G18" s="8"/>
      <c r="H18" s="26"/>
      <c r="I18" s="26"/>
      <c r="J18" s="26"/>
    </row>
    <row r="19" spans="1:18" x14ac:dyDescent="0.25">
      <c r="A19" t="s">
        <v>40</v>
      </c>
      <c r="H19" s="36"/>
      <c r="I19" s="38">
        <f>AVERAGE(I12:I16)</f>
        <v>19.374861111111112</v>
      </c>
      <c r="J19" s="38">
        <f>AVERAGE(J12:J16)</f>
        <v>85.227499999999992</v>
      </c>
    </row>
    <row r="20" spans="1:18" x14ac:dyDescent="0.25">
      <c r="H20" s="26"/>
      <c r="I20" s="34" t="s">
        <v>52</v>
      </c>
      <c r="J20" s="34">
        <f>+B6/60</f>
        <v>-4.1666666666666664E-2</v>
      </c>
    </row>
    <row r="21" spans="1:18" x14ac:dyDescent="0.25">
      <c r="H21" s="26"/>
      <c r="I21" s="34"/>
      <c r="J21" s="34">
        <f>+J19+J20</f>
        <v>85.185833333333321</v>
      </c>
    </row>
    <row r="22" spans="1:18" x14ac:dyDescent="0.25">
      <c r="H22" s="26"/>
      <c r="I22" s="39">
        <f>ROUND(TRUNC(I19,0),0)</f>
        <v>19</v>
      </c>
      <c r="J22" s="39">
        <f>ROUND(TRUNC(J21,0),0)</f>
        <v>85</v>
      </c>
    </row>
    <row r="23" spans="1:18" x14ac:dyDescent="0.25">
      <c r="H23" s="26"/>
      <c r="I23" s="34">
        <f>(+I19-I22)</f>
        <v>0.37486111111111242</v>
      </c>
      <c r="J23" s="41">
        <f>ROUND((MOD(J21,1)*60),5)</f>
        <v>11.15</v>
      </c>
    </row>
    <row r="24" spans="1:18" x14ac:dyDescent="0.25">
      <c r="H24" s="27"/>
      <c r="I24" s="40">
        <f>ROUND(MOD(I23,1)*60,1)</f>
        <v>22.5</v>
      </c>
      <c r="J24" s="35"/>
      <c r="L24" s="32"/>
      <c r="M24" s="48" t="s">
        <v>37</v>
      </c>
      <c r="N24" s="48"/>
      <c r="O24" s="32"/>
      <c r="P24" s="48" t="s">
        <v>77</v>
      </c>
      <c r="Q24" s="48" t="s">
        <v>52</v>
      </c>
      <c r="R24" s="48" t="s">
        <v>78</v>
      </c>
    </row>
    <row r="25" spans="1:18" x14ac:dyDescent="0.25">
      <c r="I25" s="10"/>
      <c r="L25" s="36"/>
      <c r="M25" s="43">
        <v>19.38</v>
      </c>
      <c r="N25" s="36"/>
      <c r="O25" s="36"/>
      <c r="P25" s="36">
        <f>-0.9296*19.38+103.24</f>
        <v>85.224351999999996</v>
      </c>
      <c r="Q25" s="36"/>
      <c r="R25" s="46"/>
    </row>
    <row r="26" spans="1:18" x14ac:dyDescent="0.25">
      <c r="I26" t="s">
        <v>53</v>
      </c>
      <c r="L26" s="44">
        <v>19</v>
      </c>
      <c r="M26" s="44">
        <f>60*0.38</f>
        <v>22.8</v>
      </c>
      <c r="N26" s="27"/>
      <c r="O26" s="44">
        <v>85</v>
      </c>
      <c r="P26" s="47">
        <f>60*(P25-O26)</f>
        <v>13.461119999999767</v>
      </c>
      <c r="Q26" s="47">
        <f>+B6/60</f>
        <v>-4.1666666666666664E-2</v>
      </c>
      <c r="R26" s="47">
        <f>+P26+Q26</f>
        <v>13.419453333333101</v>
      </c>
    </row>
    <row r="29" spans="1:18" x14ac:dyDescent="0.25">
      <c r="B29" t="s">
        <v>76</v>
      </c>
      <c r="G29" s="8"/>
      <c r="I29" s="9"/>
      <c r="J29" s="9"/>
    </row>
    <row r="30" spans="1:18" x14ac:dyDescent="0.25">
      <c r="G30" s="8"/>
      <c r="I30" s="9"/>
      <c r="J30" s="9"/>
    </row>
    <row r="31" spans="1:18" x14ac:dyDescent="0.25">
      <c r="K31" s="13"/>
      <c r="M31" s="13"/>
      <c r="Q31" s="14"/>
    </row>
  </sheetData>
  <mergeCells count="8">
    <mergeCell ref="B10:D10"/>
    <mergeCell ref="F10:G10"/>
    <mergeCell ref="B1:C1"/>
    <mergeCell ref="J1:L1"/>
    <mergeCell ref="J2:L2"/>
    <mergeCell ref="J3:L3"/>
    <mergeCell ref="B9:G9"/>
    <mergeCell ref="I9:J9"/>
  </mergeCells>
  <pageMargins left="0.7" right="0.7" top="0.75" bottom="0.75" header="0.3" footer="0.3"/>
  <pageSetup scale="65" orientation="landscape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BE3B5-D311-4AE2-88C4-20F2CAE317A6}">
  <sheetPr codeName="Sheet15">
    <pageSetUpPr fitToPage="1"/>
  </sheetPr>
  <dimension ref="A1:Q34"/>
  <sheetViews>
    <sheetView topLeftCell="A16" workbookViewId="0">
      <selection activeCell="H28" sqref="H28"/>
    </sheetView>
  </sheetViews>
  <sheetFormatPr defaultRowHeight="15" x14ac:dyDescent="0.25"/>
  <cols>
    <col min="1" max="1" width="10.140625" bestFit="1" customWidth="1"/>
    <col min="2" max="4" width="7.7109375" customWidth="1"/>
    <col min="5" max="5" width="5.7109375" customWidth="1"/>
    <col min="6" max="7" width="7.7109375" customWidth="1"/>
    <col min="9" max="9" width="11" bestFit="1" customWidth="1"/>
    <col min="10" max="10" width="11.5703125" customWidth="1"/>
    <col min="15" max="15" width="10.5703125" bestFit="1" customWidth="1"/>
  </cols>
  <sheetData>
    <row r="1" spans="1:12" x14ac:dyDescent="0.25">
      <c r="A1" t="s">
        <v>41</v>
      </c>
      <c r="B1" s="70">
        <v>44144</v>
      </c>
      <c r="C1" s="70"/>
    </row>
    <row r="2" spans="1:12" x14ac:dyDescent="0.25">
      <c r="A2" t="s">
        <v>42</v>
      </c>
      <c r="B2" t="s">
        <v>45</v>
      </c>
    </row>
    <row r="3" spans="1:12" x14ac:dyDescent="0.25">
      <c r="A3" t="s">
        <v>71</v>
      </c>
    </row>
    <row r="4" spans="1:12" x14ac:dyDescent="0.25">
      <c r="A4" t="s">
        <v>72</v>
      </c>
      <c r="B4">
        <v>60</v>
      </c>
    </row>
    <row r="5" spans="1:12" x14ac:dyDescent="0.25">
      <c r="A5" t="s">
        <v>73</v>
      </c>
      <c r="B5" s="22">
        <v>30</v>
      </c>
      <c r="J5" s="71" t="s">
        <v>50</v>
      </c>
      <c r="K5" s="71"/>
      <c r="L5" s="71"/>
    </row>
    <row r="6" spans="1:12" x14ac:dyDescent="0.25">
      <c r="A6" t="s">
        <v>74</v>
      </c>
      <c r="B6">
        <v>-2.6</v>
      </c>
      <c r="J6" s="70">
        <v>44144</v>
      </c>
      <c r="K6" s="71"/>
      <c r="L6" s="71"/>
    </row>
    <row r="7" spans="1:12" x14ac:dyDescent="0.25">
      <c r="J7" s="71" t="s">
        <v>75</v>
      </c>
      <c r="K7" s="71"/>
      <c r="L7" s="71"/>
    </row>
    <row r="9" spans="1:12" x14ac:dyDescent="0.25">
      <c r="B9" s="71" t="s">
        <v>28</v>
      </c>
      <c r="C9" s="71"/>
      <c r="D9" s="71"/>
      <c r="E9" s="71"/>
      <c r="F9" s="71"/>
      <c r="G9" s="71"/>
      <c r="I9" s="71" t="s">
        <v>29</v>
      </c>
      <c r="J9" s="71"/>
    </row>
    <row r="10" spans="1:12" x14ac:dyDescent="0.25">
      <c r="B10" s="71" t="s">
        <v>35</v>
      </c>
      <c r="C10" s="71"/>
      <c r="D10" s="71"/>
      <c r="E10" s="45"/>
      <c r="F10" s="71" t="s">
        <v>36</v>
      </c>
      <c r="G10" s="71"/>
      <c r="I10" s="45" t="s">
        <v>27</v>
      </c>
      <c r="J10" s="45" t="s">
        <v>38</v>
      </c>
    </row>
    <row r="11" spans="1:12" x14ac:dyDescent="0.25">
      <c r="A11" t="s">
        <v>43</v>
      </c>
      <c r="B11" s="45" t="s">
        <v>30</v>
      </c>
      <c r="C11" s="45" t="s">
        <v>31</v>
      </c>
      <c r="D11" s="45" t="s">
        <v>32</v>
      </c>
      <c r="F11" s="45" t="s">
        <v>33</v>
      </c>
      <c r="G11" s="45" t="s">
        <v>34</v>
      </c>
      <c r="I11" s="45" t="s">
        <v>37</v>
      </c>
      <c r="J11" s="45" t="s">
        <v>39</v>
      </c>
    </row>
    <row r="12" spans="1:12" x14ac:dyDescent="0.25">
      <c r="A12">
        <v>1</v>
      </c>
      <c r="B12">
        <v>15</v>
      </c>
      <c r="C12">
        <v>19</v>
      </c>
      <c r="D12">
        <v>22</v>
      </c>
      <c r="F12">
        <v>76</v>
      </c>
      <c r="G12" s="8">
        <v>28.9</v>
      </c>
      <c r="I12" s="9">
        <f>+B12+(C12/60)+(D12/3600)</f>
        <v>15.322777777777777</v>
      </c>
      <c r="J12" s="9">
        <f>+F12+G12/60</f>
        <v>76.481666666666669</v>
      </c>
    </row>
    <row r="13" spans="1:12" x14ac:dyDescent="0.25">
      <c r="A13">
        <v>2</v>
      </c>
      <c r="B13">
        <v>15</v>
      </c>
      <c r="C13">
        <v>20</v>
      </c>
      <c r="D13">
        <v>45</v>
      </c>
      <c r="F13">
        <v>76</v>
      </c>
      <c r="G13" s="8">
        <v>28.5</v>
      </c>
      <c r="I13" s="9">
        <f>+B13+(C13/60)+(D13/3600)</f>
        <v>15.345833333333333</v>
      </c>
      <c r="J13" s="9">
        <f>+F13+G13/60</f>
        <v>76.474999999999994</v>
      </c>
    </row>
    <row r="14" spans="1:12" x14ac:dyDescent="0.25">
      <c r="A14">
        <v>3</v>
      </c>
      <c r="B14">
        <v>15</v>
      </c>
      <c r="C14">
        <v>22</v>
      </c>
      <c r="D14">
        <v>13</v>
      </c>
      <c r="F14">
        <v>76</v>
      </c>
      <c r="G14" s="8">
        <v>28</v>
      </c>
      <c r="I14" s="9">
        <f>+B14+(C14/60)+(D14/3600)</f>
        <v>15.370277777777778</v>
      </c>
      <c r="J14" s="9">
        <f>+F14+G14/60</f>
        <v>76.466666666666669</v>
      </c>
    </row>
    <row r="15" spans="1:12" x14ac:dyDescent="0.25">
      <c r="A15">
        <v>4</v>
      </c>
      <c r="B15">
        <v>15</v>
      </c>
      <c r="C15">
        <v>23</v>
      </c>
      <c r="D15">
        <v>34</v>
      </c>
      <c r="F15">
        <v>76</v>
      </c>
      <c r="G15" s="8">
        <v>27.8</v>
      </c>
      <c r="I15" s="9">
        <f>+B15+(C15/60)+(D15/3600)</f>
        <v>15.392777777777777</v>
      </c>
      <c r="J15" s="9">
        <f>+F15+G15/60</f>
        <v>76.463333333333338</v>
      </c>
    </row>
    <row r="16" spans="1:12" x14ac:dyDescent="0.25">
      <c r="A16">
        <v>5</v>
      </c>
      <c r="B16">
        <v>15</v>
      </c>
      <c r="C16">
        <v>24</v>
      </c>
      <c r="D16">
        <v>49</v>
      </c>
      <c r="F16">
        <v>76</v>
      </c>
      <c r="G16" s="8">
        <v>27.6</v>
      </c>
      <c r="I16" s="9"/>
      <c r="J16" s="9"/>
    </row>
    <row r="17" spans="1:16" x14ac:dyDescent="0.25">
      <c r="A17">
        <v>6</v>
      </c>
      <c r="B17">
        <v>15</v>
      </c>
      <c r="C17">
        <v>26</v>
      </c>
      <c r="D17">
        <v>10</v>
      </c>
      <c r="F17">
        <v>76</v>
      </c>
      <c r="G17" s="8">
        <v>25.8</v>
      </c>
      <c r="I17" s="9"/>
      <c r="J17" s="9"/>
    </row>
    <row r="18" spans="1:16" x14ac:dyDescent="0.25">
      <c r="G18" s="8"/>
      <c r="I18" s="9"/>
      <c r="J18" s="9"/>
    </row>
    <row r="19" spans="1:16" x14ac:dyDescent="0.25">
      <c r="G19" s="8"/>
      <c r="I19" s="9"/>
      <c r="J19" s="9"/>
    </row>
    <row r="20" spans="1:16" x14ac:dyDescent="0.25">
      <c r="G20" s="8"/>
      <c r="I20" s="9"/>
      <c r="J20" s="9"/>
    </row>
    <row r="21" spans="1:16" x14ac:dyDescent="0.25">
      <c r="G21" s="8"/>
    </row>
    <row r="22" spans="1:16" x14ac:dyDescent="0.25">
      <c r="I22" s="10">
        <f>AVERAGE(I12:I17)</f>
        <v>15.357916666666668</v>
      </c>
      <c r="J22" s="10">
        <f>AVERAGE(J12:J17)</f>
        <v>76.471666666666664</v>
      </c>
    </row>
    <row r="23" spans="1:16" x14ac:dyDescent="0.25">
      <c r="I23" s="10"/>
      <c r="J23" s="10"/>
    </row>
    <row r="24" spans="1:16" x14ac:dyDescent="0.25">
      <c r="I24" s="10"/>
      <c r="J24" s="10"/>
    </row>
    <row r="25" spans="1:16" x14ac:dyDescent="0.25">
      <c r="I25" s="12"/>
      <c r="J25" s="12"/>
    </row>
    <row r="26" spans="1:16" x14ac:dyDescent="0.25">
      <c r="I26" s="10"/>
      <c r="J26" s="11"/>
    </row>
    <row r="27" spans="1:16" x14ac:dyDescent="0.25">
      <c r="I27" s="11"/>
      <c r="J27" s="12"/>
      <c r="M27" s="45" t="s">
        <v>37</v>
      </c>
      <c r="N27" s="45"/>
      <c r="P27" s="45" t="s">
        <v>53</v>
      </c>
    </row>
    <row r="28" spans="1:16" x14ac:dyDescent="0.25">
      <c r="I28" s="10"/>
      <c r="M28" s="5">
        <v>15.4</v>
      </c>
      <c r="P28">
        <f>-15.4*0.2707+80.628</f>
        <v>76.459220000000002</v>
      </c>
    </row>
    <row r="29" spans="1:16" x14ac:dyDescent="0.25">
      <c r="L29" s="5">
        <f>INT(M28)</f>
        <v>15</v>
      </c>
      <c r="M29" s="5">
        <f>+M28-L29</f>
        <v>0.40000000000000036</v>
      </c>
      <c r="O29" s="5">
        <f>INT(P28)</f>
        <v>76</v>
      </c>
      <c r="P29" s="5">
        <f>+P28-O29</f>
        <v>0.45922000000000196</v>
      </c>
    </row>
    <row r="30" spans="1:16" x14ac:dyDescent="0.25">
      <c r="O30" s="19">
        <f>+O29</f>
        <v>76</v>
      </c>
      <c r="P30" s="14">
        <f>+P29*60</f>
        <v>27.553200000000118</v>
      </c>
    </row>
    <row r="31" spans="1:16" x14ac:dyDescent="0.25">
      <c r="O31" t="s">
        <v>52</v>
      </c>
      <c r="P31">
        <f>+B6</f>
        <v>-2.6</v>
      </c>
    </row>
    <row r="32" spans="1:16" x14ac:dyDescent="0.25">
      <c r="B32" t="s">
        <v>76</v>
      </c>
      <c r="G32" s="8"/>
      <c r="I32" s="9"/>
      <c r="J32" s="9"/>
      <c r="N32" t="s">
        <v>36</v>
      </c>
      <c r="O32" s="19">
        <f>+O30</f>
        <v>76</v>
      </c>
      <c r="P32" s="14">
        <f>+P30+P31</f>
        <v>24.953200000000116</v>
      </c>
    </row>
    <row r="33" spans="7:17" x14ac:dyDescent="0.25">
      <c r="G33" s="8"/>
      <c r="I33" s="9"/>
      <c r="J33" s="9"/>
    </row>
    <row r="34" spans="7:17" x14ac:dyDescent="0.25">
      <c r="K34" s="13"/>
      <c r="M34" s="13"/>
      <c r="Q34" s="14"/>
    </row>
  </sheetData>
  <mergeCells count="8">
    <mergeCell ref="B10:D10"/>
    <mergeCell ref="F10:G10"/>
    <mergeCell ref="B1:C1"/>
    <mergeCell ref="J5:L5"/>
    <mergeCell ref="J6:L6"/>
    <mergeCell ref="J7:L7"/>
    <mergeCell ref="B9:G9"/>
    <mergeCell ref="I9:J9"/>
  </mergeCells>
  <pageMargins left="0.7" right="0.7" top="0.75" bottom="0.75" header="0.3" footer="0.3"/>
  <pageSetup scale="6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Wks SunLine020522</vt:lpstr>
      <vt:lpstr>IC Record 040522</vt:lpstr>
      <vt:lpstr>ErrorSummary</vt:lpstr>
      <vt:lpstr>Rye Harbor 11 Apr 22  </vt:lpstr>
      <vt:lpstr>YMCA 26 Mar 22 </vt:lpstr>
      <vt:lpstr>YMCA 10 Mar 22</vt:lpstr>
      <vt:lpstr>YMCA 24 Nov 2020</vt:lpstr>
      <vt:lpstr>YMCA 21 Nov 2020  </vt:lpstr>
      <vt:lpstr>YMCA 9 Nov 2020 </vt:lpstr>
      <vt:lpstr>YMCA 22 Oct 2020 </vt:lpstr>
      <vt:lpstr>YMCA 8 Oct 2020</vt:lpstr>
      <vt:lpstr>YMCA 31 May 2020</vt:lpstr>
      <vt:lpstr>YMCA 14 May 2020</vt:lpstr>
      <vt:lpstr>YMCA 31 Mar 2020</vt:lpstr>
      <vt:lpstr>YMCA 8 Mar 2020</vt:lpstr>
      <vt:lpstr>YMCA 4 Mar 2020</vt:lpstr>
      <vt:lpstr>YMCA 1 Mar 2020 </vt:lpstr>
      <vt:lpstr>YMCA 31 Jan 2020</vt:lpstr>
      <vt:lpstr>YMCA 29Jan20</vt:lpstr>
      <vt:lpstr>Rye 17Jan20</vt:lpstr>
      <vt:lpstr>Old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</dc:creator>
  <cp:lastModifiedBy>James</cp:lastModifiedBy>
  <cp:lastPrinted>2022-04-12T02:43:00Z</cp:lastPrinted>
  <dcterms:created xsi:type="dcterms:W3CDTF">2020-01-19T12:39:36Z</dcterms:created>
  <dcterms:modified xsi:type="dcterms:W3CDTF">2022-04-13T14:24:33Z</dcterms:modified>
</cp:coreProperties>
</file>