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041dd7993af214/Documents/Other/Celestial Navigation/"/>
    </mc:Choice>
  </mc:AlternateContent>
  <xr:revisionPtr revIDLastSave="694" documentId="102_{D19423A5-06CF-43B8-989E-8CFAA74A5F73}" xr6:coauthVersionLast="45" xr6:coauthVersionMax="45" xr10:uidLastSave="{232405A9-BFE6-4EF8-941D-A29231545DD1}"/>
  <bookViews>
    <workbookView xWindow="30915" yWindow="255" windowWidth="21810" windowHeight="18105" activeTab="2" xr2:uid="{833F04E6-7F1A-4531-9862-CCC208841694}"/>
  </bookViews>
  <sheets>
    <sheet name="LoP" sheetId="1" r:id="rId1"/>
    <sheet name="DR" sheetId="3" r:id="rId2"/>
    <sheet name="Sheet1" sheetId="6" r:id="rId3"/>
    <sheet name="Pt 2 given Pt 1 and Intercept" sheetId="2" state="hidden" r:id="rId4"/>
  </sheets>
  <definedNames>
    <definedName name="aLat" localSheetId="1">DR!$E$7</definedName>
    <definedName name="aLat">LoP!$E$7</definedName>
    <definedName name="aLon" localSheetId="1">DR!$E$8</definedName>
    <definedName name="aLon">LoP!$E$8</definedName>
    <definedName name="Azimuth" localSheetId="1">DR!$E$15</definedName>
    <definedName name="Azimuth">LoP!$E$15</definedName>
    <definedName name="azimuth_angle" localSheetId="1">DR!$E$14</definedName>
    <definedName name="azimuth_angle">LoP!$E$14</definedName>
    <definedName name="cosa">Sheet1!$H$15</definedName>
    <definedName name="cosb">Sheet1!$H$17</definedName>
    <definedName name="cosc">Sheet1!$H$19</definedName>
    <definedName name="cosX">Sheet1!$H$6</definedName>
    <definedName name="cosY">Sheet1!$H$8</definedName>
    <definedName name="dec" localSheetId="1">DR!$E$9</definedName>
    <definedName name="dec">LoP!$E$9</definedName>
    <definedName name="GHA" localSheetId="1">DR!$E$10</definedName>
    <definedName name="GHA">LoP!$E$10</definedName>
    <definedName name="Hc" localSheetId="1">DR!$E$12</definedName>
    <definedName name="Hc">LoP!$E$12</definedName>
    <definedName name="LHA" localSheetId="1">DR!$E$11</definedName>
    <definedName name="LHA">LoP!$E$11</definedName>
    <definedName name="Pt1Lat">'Pt 2 given Pt 1 and Intercept'!#REF!</definedName>
    <definedName name="Pt1Lon">'Pt 2 given Pt 1 and Intercept'!#REF!</definedName>
    <definedName name="Pt2Lat">'Pt 2 given Pt 1 and Intercept'!#REF!</definedName>
    <definedName name="Pt2Lon">'Pt 2 given Pt 1 and Intercept'!#REF!</definedName>
    <definedName name="sina">Sheet1!$G$15</definedName>
    <definedName name="sinb">Sheet1!$G$17</definedName>
    <definedName name="sinc">Sheet1!$G$19</definedName>
    <definedName name="sinX">Sheet1!$G$6</definedName>
    <definedName name="sinY">Sheet1!$G$8</definedName>
    <definedName name="solver_adj" localSheetId="1" hidden="1">DR!#REF!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DR!#REF!</definedName>
    <definedName name="solver_pre" localSheetId="1" hidden="1">0.000001</definedName>
    <definedName name="solver_rbv" localSheetId="1" hidden="1">2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5</definedName>
    <definedName name="solver_ver" localSheetId="1" hidden="1">3</definedName>
    <definedName name="Zenith_distance" localSheetId="1">DR!$E$13</definedName>
    <definedName name="Zenith_distance">LoP!$E$13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6" l="1"/>
  <c r="H15" i="6"/>
  <c r="F8" i="6"/>
  <c r="G8" i="6" s="1"/>
  <c r="C40" i="6" s="1"/>
  <c r="F19" i="6"/>
  <c r="G19" i="6" s="1"/>
  <c r="C45" i="6" s="1"/>
  <c r="F15" i="6"/>
  <c r="H19" i="6" l="1"/>
  <c r="C19" i="6"/>
  <c r="H8" i="6"/>
  <c r="G15" i="6"/>
  <c r="C23" i="1"/>
  <c r="H17" i="6" l="1"/>
  <c r="F17" i="6" s="1"/>
  <c r="E6" i="3"/>
  <c r="E13" i="3"/>
  <c r="G13" i="3" s="1"/>
  <c r="F12" i="3" s="1"/>
  <c r="E8" i="3"/>
  <c r="E7" i="3"/>
  <c r="G7" i="3" s="1"/>
  <c r="C15" i="2"/>
  <c r="D26" i="2" s="1"/>
  <c r="D12" i="2"/>
  <c r="D13" i="2" s="1"/>
  <c r="E21" i="2" s="1"/>
  <c r="H17" i="2"/>
  <c r="E23" i="2"/>
  <c r="D32" i="2" s="1"/>
  <c r="F32" i="2" s="1"/>
  <c r="G8" i="2"/>
  <c r="D29" i="2" s="1"/>
  <c r="C10" i="6" l="1"/>
  <c r="G17" i="6"/>
  <c r="B8" i="2"/>
  <c r="D27" i="2" s="1"/>
  <c r="F27" i="2" s="1"/>
  <c r="C13" i="3"/>
  <c r="D13" i="3" s="1"/>
  <c r="F13" i="3"/>
  <c r="G12" i="3" s="1"/>
  <c r="E12" i="3"/>
  <c r="F7" i="3"/>
  <c r="E32" i="2"/>
  <c r="F26" i="2"/>
  <c r="E26" i="2"/>
  <c r="E27" i="2"/>
  <c r="F29" i="2"/>
  <c r="E29" i="2"/>
  <c r="D28" i="2"/>
  <c r="D30" i="2"/>
  <c r="C44" i="6" l="1"/>
  <c r="E40" i="6" s="1"/>
  <c r="G10" i="6"/>
  <c r="F10" i="6" s="1"/>
  <c r="H10" i="6" s="1"/>
  <c r="H6" i="6"/>
  <c r="F6" i="6" s="1"/>
  <c r="C12" i="3"/>
  <c r="D12" i="3" s="1"/>
  <c r="F28" i="2"/>
  <c r="E28" i="2"/>
  <c r="E30" i="2"/>
  <c r="E31" i="2" s="1"/>
  <c r="D31" i="2" s="1"/>
  <c r="F30" i="2"/>
  <c r="C41" i="6" l="1"/>
  <c r="E41" i="6" s="1"/>
  <c r="G6" i="6"/>
  <c r="C39" i="6" s="1"/>
  <c r="E39" i="6" s="1"/>
  <c r="D10" i="6"/>
  <c r="F31" i="2"/>
  <c r="G30" i="2" s="1"/>
  <c r="C16" i="2"/>
  <c r="E6" i="1"/>
  <c r="E8" i="1" l="1"/>
  <c r="E7" i="1"/>
  <c r="G7" i="1" s="1"/>
  <c r="E10" i="1"/>
  <c r="E9" i="1"/>
  <c r="G9" i="1" s="1"/>
  <c r="E11" i="1" l="1"/>
  <c r="G11" i="1" s="1"/>
  <c r="F7" i="1"/>
  <c r="F9" i="1"/>
  <c r="F12" i="1" l="1"/>
  <c r="E12" i="1" s="1"/>
  <c r="E13" i="1" s="1"/>
  <c r="C11" i="1"/>
  <c r="D11" i="1" s="1"/>
  <c r="E16" i="1" l="1"/>
  <c r="C16" i="1" s="1"/>
  <c r="C17" i="1"/>
  <c r="G12" i="1"/>
  <c r="C13" i="1"/>
  <c r="D13" i="1" s="1"/>
  <c r="C12" i="1"/>
  <c r="D12" i="1" s="1"/>
  <c r="G14" i="1" l="1"/>
  <c r="E14" i="1" s="1"/>
  <c r="E15" i="1" s="1"/>
  <c r="C15" i="1" s="1"/>
  <c r="D15" i="1" l="1"/>
  <c r="C24" i="1"/>
  <c r="C14" i="1"/>
  <c r="E15" i="3"/>
  <c r="E14" i="3" s="1"/>
  <c r="G14" i="3" s="1"/>
  <c r="F9" i="3" s="1"/>
  <c r="D14" i="1" l="1"/>
  <c r="C25" i="1"/>
  <c r="E9" i="3"/>
  <c r="C14" i="3"/>
  <c r="D14" i="3" s="1"/>
  <c r="F14" i="3"/>
  <c r="G9" i="3" l="1"/>
  <c r="G11" i="3" s="1"/>
  <c r="E11" i="3" s="1"/>
  <c r="C9" i="3"/>
  <c r="D9" i="3" s="1"/>
  <c r="F11" i="3" l="1"/>
  <c r="E10" i="3"/>
  <c r="C11" i="3"/>
  <c r="D11" i="3" s="1"/>
  <c r="C10" i="3" l="1"/>
  <c r="D10" i="3" s="1"/>
</calcChain>
</file>

<file path=xl/sharedStrings.xml><?xml version="1.0" encoding="utf-8"?>
<sst xmlns="http://schemas.openxmlformats.org/spreadsheetml/2006/main" count="109" uniqueCount="66">
  <si>
    <t>Hc</t>
  </si>
  <si>
    <t>GP declination</t>
  </si>
  <si>
    <t>LHA</t>
  </si>
  <si>
    <t>GHA</t>
  </si>
  <si>
    <t>Degrees</t>
  </si>
  <si>
    <t>Minutes</t>
  </si>
  <si>
    <t>Decimal</t>
  </si>
  <si>
    <t>Sin</t>
  </si>
  <si>
    <t>Cos</t>
  </si>
  <si>
    <t>Azimuth Angle (Z)</t>
  </si>
  <si>
    <t>Zenith Distance (z)</t>
  </si>
  <si>
    <t>Azimuth (True Bearing)</t>
  </si>
  <si>
    <t>Ho</t>
  </si>
  <si>
    <t>Towards/Away</t>
  </si>
  <si>
    <t>a-Intercept</t>
  </si>
  <si>
    <t>Note:  for point to point distance and bearing, set Ho = 90°</t>
  </si>
  <si>
    <t>a-Lat</t>
  </si>
  <si>
    <t>a-Lon</t>
  </si>
  <si>
    <t>Calculate the intercept and bearing between two points</t>
  </si>
  <si>
    <t>Or calculate the LOP from Assumed Position (AP) given Ho, and GP of Celestial Body</t>
  </si>
  <si>
    <t>nautical miles</t>
  </si>
  <si>
    <t>P</t>
  </si>
  <si>
    <t>Z</t>
  </si>
  <si>
    <t>X</t>
  </si>
  <si>
    <t>Lat</t>
  </si>
  <si>
    <t>Lon</t>
  </si>
  <si>
    <t>co-Dec</t>
  </si>
  <si>
    <t>Dec</t>
  </si>
  <si>
    <t>co-Lat</t>
  </si>
  <si>
    <t>z = [90 - Hc]</t>
  </si>
  <si>
    <t>Bearing</t>
  </si>
  <si>
    <t>Zenith Distance</t>
  </si>
  <si>
    <t>Degree</t>
  </si>
  <si>
    <t>z</t>
  </si>
  <si>
    <t>a</t>
  </si>
  <si>
    <t>b</t>
  </si>
  <si>
    <t>c</t>
  </si>
  <si>
    <t>A</t>
  </si>
  <si>
    <t>C</t>
  </si>
  <si>
    <t>Advancing LoP</t>
  </si>
  <si>
    <t>Distance run</t>
  </si>
  <si>
    <t>Course</t>
  </si>
  <si>
    <t>Azimuth (remains same)</t>
  </si>
  <si>
    <t>a-Intercept (changes)</t>
  </si>
  <si>
    <t>B</t>
  </si>
  <si>
    <t>length</t>
  </si>
  <si>
    <t>Angle</t>
  </si>
  <si>
    <t>sin()</t>
  </si>
  <si>
    <t>cos()</t>
  </si>
  <si>
    <t>angle</t>
  </si>
  <si>
    <t>course</t>
  </si>
  <si>
    <t>sin(A)</t>
  </si>
  <si>
    <t>sin(a)</t>
  </si>
  <si>
    <t>sin(B)</t>
  </si>
  <si>
    <t>sin©</t>
  </si>
  <si>
    <t>enter knowns</t>
  </si>
  <si>
    <t>calculate a based on course and distance</t>
  </si>
  <si>
    <t>calculate c (angle, sin, cos) based on Lat(B)</t>
  </si>
  <si>
    <t>cos b = cos c * cos a + sin c * sin a * cos B</t>
  </si>
  <si>
    <t>step 4</t>
  </si>
  <si>
    <t>calculate b by solving for cos(b), then calculate Lat(C) based on b</t>
  </si>
  <si>
    <t>sin(b)</t>
  </si>
  <si>
    <t>angle(b) = acos(b)</t>
  </si>
  <si>
    <t>Lon of C = Lon of B + angle(A)</t>
  </si>
  <si>
    <t>cos(A) = [cos(a) - cos(b)*cos(c)] / {sin(b)*sin(c)]</t>
  </si>
  <si>
    <t>cos a = cos b * cos c + sin b * sin c * cos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</si>
</sst>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00_);\(#,##0.0000\)"/>
    <numFmt numFmtId="165" formatCode="#,##0.0_);\(#,##0.0\)"/>
    <numFmt numFmtId="166" formatCode="0.0000"/>
    <numFmt numFmtId="167" formatCode="_(* #,##0.0000_);_(* \(#,##0.0000\);_(* &quot;-&quot;??_);_(@_)"/>
    <numFmt numFmtId="170" formatCode="_(* #,##0.000_);_(* \(#,##0.000\);_(* &quot;-&quot;??_);_(@_)"/>
    <numFmt numFmtId="180" formatCode="0.0"/>
  </numFmts>
  <fonts count="11" x14ac:knownFonts="1">
    <font>
      <sz val="9"/>
      <color theme="1"/>
      <name val="Segoe UI Light"/>
      <family val="2"/>
    </font>
    <font>
      <sz val="9"/>
      <color rgb="FF0000FF"/>
      <name val="Segoe UI Light"/>
      <family val="2"/>
    </font>
    <font>
      <b/>
      <sz val="9"/>
      <color theme="1"/>
      <name val="Segoe UI Light"/>
      <family val="2"/>
    </font>
    <font>
      <sz val="9"/>
      <color theme="0"/>
      <name val="Segoe UI Light"/>
      <family val="2"/>
    </font>
    <font>
      <b/>
      <sz val="7"/>
      <color theme="1"/>
      <name val="Segoe UI Light"/>
      <family val="2"/>
    </font>
    <font>
      <sz val="9"/>
      <color theme="1"/>
      <name val="Segoe UI Light"/>
      <family val="2"/>
    </font>
    <font>
      <sz val="9"/>
      <name val="Segoe UI Light"/>
      <family val="2"/>
    </font>
    <font>
      <b/>
      <sz val="9"/>
      <name val="Segoe UI Light"/>
      <family val="2"/>
    </font>
    <font>
      <b/>
      <u/>
      <sz val="9"/>
      <color theme="1"/>
      <name val="Segoe UI Light"/>
      <family val="2"/>
    </font>
    <font>
      <b/>
      <sz val="9"/>
      <color rgb="FF0000FF"/>
      <name val="Segoe UI Light"/>
      <family val="2"/>
    </font>
    <font>
      <sz val="11"/>
      <color theme="1"/>
      <name val="Segoe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37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left"/>
    </xf>
    <xf numFmtId="3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7" fontId="0" fillId="0" borderId="0" xfId="1" applyNumberFormat="1" applyFont="1"/>
    <xf numFmtId="43" fontId="0" fillId="0" borderId="0" xfId="0" applyNumberFormat="1"/>
    <xf numFmtId="10" fontId="0" fillId="0" borderId="0" xfId="2" applyNumberFormat="1" applyFont="1"/>
    <xf numFmtId="164" fontId="0" fillId="3" borderId="0" xfId="0" applyNumberFormat="1" applyFill="1"/>
    <xf numFmtId="37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7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left" indent="1"/>
    </xf>
    <xf numFmtId="3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8" fillId="0" borderId="0" xfId="0" applyFont="1"/>
    <xf numFmtId="167" fontId="0" fillId="0" borderId="0" xfId="0" applyNumberFormat="1"/>
    <xf numFmtId="0" fontId="9" fillId="0" borderId="0" xfId="0" applyFont="1" applyAlignment="1">
      <alignment horizontal="center"/>
    </xf>
    <xf numFmtId="170" fontId="0" fillId="0" borderId="0" xfId="0" applyNumberFormat="1"/>
    <xf numFmtId="0" fontId="10" fillId="0" borderId="0" xfId="0" applyFont="1"/>
    <xf numFmtId="0" fontId="0" fillId="0" borderId="0" xfId="0" applyAlignment="1">
      <alignment horizontal="left"/>
    </xf>
    <xf numFmtId="180" fontId="9" fillId="0" borderId="0" xfId="1" applyNumberFormat="1" applyFont="1" applyAlignment="1">
      <alignment horizontal="center"/>
    </xf>
    <xf numFmtId="180" fontId="0" fillId="0" borderId="0" xfId="1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259563</xdr:colOff>
      <xdr:row>4</xdr:row>
      <xdr:rowOff>161591</xdr:rowOff>
    </xdr:from>
    <xdr:to>
      <xdr:col>7</xdr:col>
      <xdr:colOff>30117</xdr:colOff>
      <xdr:row>24</xdr:row>
      <xdr:rowOff>7982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9D91ADF2-4228-47E3-BAB7-27589AF4BB1B}"/>
            </a:ext>
          </a:extLst>
        </xdr:cNvPr>
        <xdr:cNvSpPr/>
      </xdr:nvSpPr>
      <xdr:spPr>
        <a:xfrm>
          <a:off x="7525777" y="929034"/>
          <a:ext cx="1925926" cy="3329819"/>
        </a:xfrm>
        <a:prstGeom prst="arc">
          <a:avLst>
            <a:gd name="adj1" fmla="val 16317466"/>
            <a:gd name="adj2" fmla="val 2117965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373321</xdr:colOff>
      <xdr:row>0</xdr:row>
      <xdr:rowOff>52571</xdr:rowOff>
    </xdr:from>
    <xdr:to>
      <xdr:col>5</xdr:col>
      <xdr:colOff>437063</xdr:colOff>
      <xdr:row>13</xdr:row>
      <xdr:rowOff>1166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0C998870-03B1-4426-853E-976D57DB6DF4}"/>
            </a:ext>
          </a:extLst>
        </xdr:cNvPr>
        <xdr:cNvSpPr/>
      </xdr:nvSpPr>
      <xdr:spPr>
        <a:xfrm rot="16033819">
          <a:off x="489859" y="32795"/>
          <a:ext cx="2189238" cy="2228789"/>
        </a:xfrm>
        <a:prstGeom prst="arc">
          <a:avLst>
            <a:gd name="adj1" fmla="val 9476758"/>
            <a:gd name="adj2" fmla="val 16551157"/>
          </a:avLst>
        </a:prstGeom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64468</xdr:colOff>
      <xdr:row>17</xdr:row>
      <xdr:rowOff>128087</xdr:rowOff>
    </xdr:from>
    <xdr:to>
      <xdr:col>5</xdr:col>
      <xdr:colOff>373865</xdr:colOff>
      <xdr:row>36</xdr:row>
      <xdr:rowOff>148648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1A2A135D-D64B-4484-BA3D-E853E9F0AD38}"/>
            </a:ext>
          </a:extLst>
        </xdr:cNvPr>
        <xdr:cNvSpPr/>
      </xdr:nvSpPr>
      <xdr:spPr>
        <a:xfrm>
          <a:off x="6791839" y="3159758"/>
          <a:ext cx="1925926" cy="3329819"/>
        </a:xfrm>
        <a:prstGeom prst="arc">
          <a:avLst>
            <a:gd name="adj1" fmla="val 16317466"/>
            <a:gd name="adj2" fmla="val 21179650"/>
          </a:avLst>
        </a:prstGeom>
        <a:scene3d>
          <a:camera prst="orthographicFront">
            <a:rot lat="0" lon="5400000" rev="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329321</xdr:colOff>
      <xdr:row>10</xdr:row>
      <xdr:rowOff>146450</xdr:rowOff>
    </xdr:from>
    <xdr:to>
      <xdr:col>7</xdr:col>
      <xdr:colOff>426931</xdr:colOff>
      <xdr:row>26</xdr:row>
      <xdr:rowOff>159834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1E8F503F-5067-4760-8054-3F713FB106B7}"/>
            </a:ext>
          </a:extLst>
        </xdr:cNvPr>
        <xdr:cNvSpPr/>
      </xdr:nvSpPr>
      <xdr:spPr>
        <a:xfrm rot="18619616">
          <a:off x="6783120" y="1693651"/>
          <a:ext cx="2800127" cy="3330667"/>
        </a:xfrm>
        <a:prstGeom prst="arc">
          <a:avLst>
            <a:gd name="adj1" fmla="val 16231862"/>
            <a:gd name="adj2" fmla="val 57691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E2A4-8E00-4EBD-B9C2-127B67A8D782}">
  <dimension ref="B2:H25"/>
  <sheetViews>
    <sheetView showGridLines="0" zoomScale="140" zoomScaleNormal="140" workbookViewId="0"/>
  </sheetViews>
  <sheetFormatPr defaultRowHeight="12" outlineLevelCol="1" x14ac:dyDescent="0.2"/>
  <cols>
    <col min="1" max="1" width="1.6640625" customWidth="1"/>
    <col min="2" max="2" width="22.6640625" customWidth="1"/>
    <col min="3" max="4" width="10.6640625" customWidth="1"/>
    <col min="5" max="7" width="10.6640625" hidden="1" customWidth="1" outlineLevel="1"/>
    <col min="8" max="8" width="9.1640625" collapsed="1"/>
  </cols>
  <sheetData>
    <row r="2" spans="2:7" x14ac:dyDescent="0.2">
      <c r="B2" t="s">
        <v>18</v>
      </c>
    </row>
    <row r="3" spans="2:7" x14ac:dyDescent="0.2">
      <c r="B3" s="11" t="s">
        <v>19</v>
      </c>
    </row>
    <row r="5" spans="2:7" x14ac:dyDescent="0.2"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2:7" x14ac:dyDescent="0.2">
      <c r="B6" s="33" t="s">
        <v>12</v>
      </c>
      <c r="C6" s="23">
        <v>90</v>
      </c>
      <c r="D6" s="24">
        <v>0</v>
      </c>
      <c r="E6" s="4">
        <f>C6+D6/60</f>
        <v>90</v>
      </c>
      <c r="F6" s="2"/>
      <c r="G6" s="2"/>
    </row>
    <row r="7" spans="2:7" x14ac:dyDescent="0.2">
      <c r="B7" s="33" t="s">
        <v>16</v>
      </c>
      <c r="C7" s="23">
        <v>11</v>
      </c>
      <c r="D7" s="24">
        <v>7.7649999999999997</v>
      </c>
      <c r="E7" s="4">
        <f>C7+D7/60</f>
        <v>11.129416666666666</v>
      </c>
      <c r="F7" s="2">
        <f>SIN(RADIANS(aLat))</f>
        <v>0.19302575414068576</v>
      </c>
      <c r="G7" s="2">
        <f>COS(RADIANS(aLat))</f>
        <v>0.981193690480335</v>
      </c>
    </row>
    <row r="8" spans="2:7" x14ac:dyDescent="0.2">
      <c r="B8" s="33" t="s">
        <v>17</v>
      </c>
      <c r="C8" s="23">
        <v>-79</v>
      </c>
      <c r="D8" s="24">
        <v>33.143000000000001</v>
      </c>
      <c r="E8" s="4">
        <f>C8+D8/60</f>
        <v>-78.447616666666661</v>
      </c>
      <c r="F8" s="2"/>
      <c r="G8" s="2"/>
    </row>
    <row r="9" spans="2:7" x14ac:dyDescent="0.2">
      <c r="B9" s="33" t="s">
        <v>1</v>
      </c>
      <c r="C9" s="23">
        <v>9</v>
      </c>
      <c r="D9" s="24">
        <v>19.760999999999999</v>
      </c>
      <c r="E9" s="4">
        <f>C9+D9/60</f>
        <v>9.3293499999999998</v>
      </c>
      <c r="F9" s="2">
        <f>SIN(RADIANS(dec))</f>
        <v>0.16210932080031645</v>
      </c>
      <c r="G9" s="2">
        <f>COS(RADIANS(dec))</f>
        <v>0.98677280470717277</v>
      </c>
    </row>
    <row r="10" spans="2:7" x14ac:dyDescent="0.2">
      <c r="B10" s="33" t="s">
        <v>3</v>
      </c>
      <c r="C10" s="23">
        <v>-79</v>
      </c>
      <c r="D10" s="24">
        <v>55.697000000000003</v>
      </c>
      <c r="E10" s="4">
        <f t="shared" ref="E10" si="0">C10+D10/60</f>
        <v>-78.07171666666666</v>
      </c>
      <c r="F10" s="2"/>
      <c r="G10" s="2"/>
    </row>
    <row r="11" spans="2:7" x14ac:dyDescent="0.2">
      <c r="B11" s="31" t="s">
        <v>2</v>
      </c>
      <c r="C11" s="6">
        <f>TRUNC(LHA)</f>
        <v>0</v>
      </c>
      <c r="D11" s="3">
        <f>(LHA-C11)*100*0.6</f>
        <v>22.554000000000087</v>
      </c>
      <c r="E11" s="4">
        <f>IF(GHA&gt;aLon,GHA-aLon,360+GHA-aLon)</f>
        <v>0.37590000000000146</v>
      </c>
      <c r="F11" s="2"/>
      <c r="G11" s="2">
        <f>COS(RADIANS(LHA))</f>
        <v>0.99997847873311663</v>
      </c>
    </row>
    <row r="12" spans="2:7" x14ac:dyDescent="0.2">
      <c r="B12" s="31" t="s">
        <v>0</v>
      </c>
      <c r="C12" s="6">
        <f>TRUNC(Hc)</f>
        <v>88</v>
      </c>
      <c r="D12" s="3">
        <f>(Hc-C12)*100*0.6</f>
        <v>9.7391295716977311</v>
      </c>
      <c r="E12" s="4">
        <f>DEGREES(ASIN(F12))</f>
        <v>88.162318826194962</v>
      </c>
      <c r="F12" s="19">
        <f>(F9*F7)+(G9*G7*G11)</f>
        <v>0.99948568659818315</v>
      </c>
      <c r="G12" s="2">
        <f>COS(RADIANS(Hc))</f>
        <v>3.2068088271027292E-2</v>
      </c>
    </row>
    <row r="13" spans="2:7" x14ac:dyDescent="0.2">
      <c r="B13" s="31" t="s">
        <v>10</v>
      </c>
      <c r="C13" s="6">
        <f>TRUNC(Zenith_distance)</f>
        <v>1</v>
      </c>
      <c r="D13" s="3">
        <f>(Zenith_distance-C13)*100*0.6</f>
        <v>50.260870428302269</v>
      </c>
      <c r="E13" s="4">
        <f>90-E12</f>
        <v>1.8376811738050378</v>
      </c>
      <c r="F13" s="2"/>
      <c r="G13" s="2"/>
    </row>
    <row r="14" spans="2:7" x14ac:dyDescent="0.2">
      <c r="B14" s="31" t="s">
        <v>9</v>
      </c>
      <c r="C14" s="6">
        <f>TRUNC(azimuth_angle)</f>
        <v>168</v>
      </c>
      <c r="D14" s="3">
        <f>(azimuth_angle-C14)*100*0.6</f>
        <v>21.189196320295878</v>
      </c>
      <c r="E14" s="4">
        <f>DEGREES(ACOS(G14))</f>
        <v>168.35315327200493</v>
      </c>
      <c r="F14" s="2"/>
      <c r="G14" s="19">
        <f>(F9-(F7*F12))/(G7*G12)</f>
        <v>-0.97941051491597308</v>
      </c>
    </row>
    <row r="15" spans="2:7" x14ac:dyDescent="0.2">
      <c r="B15" s="8" t="s">
        <v>11</v>
      </c>
      <c r="C15" s="28">
        <f>TRUNC(Azimuth)</f>
        <v>191</v>
      </c>
      <c r="D15" s="3">
        <f>(Azimuth-C15)*100*0.6</f>
        <v>38.810803679704122</v>
      </c>
      <c r="E15" s="4">
        <f>IF(LHA&lt;180,360-azimuth_angle,azimuth_angle)</f>
        <v>191.64684672799507</v>
      </c>
      <c r="F15" s="2"/>
      <c r="G15" s="2"/>
    </row>
    <row r="16" spans="2:7" x14ac:dyDescent="0.2">
      <c r="B16" s="29" t="s">
        <v>14</v>
      </c>
      <c r="C16" s="30">
        <f>+E16*60</f>
        <v>110.26087042830227</v>
      </c>
      <c r="D16">
        <v>6.25</v>
      </c>
      <c r="E16" s="4">
        <f>MAX(E6,Hc)-MIN(E6,Hc)</f>
        <v>1.8376811738050378</v>
      </c>
      <c r="G16" s="2"/>
    </row>
    <row r="17" spans="2:3" x14ac:dyDescent="0.2">
      <c r="B17" s="8" t="s">
        <v>13</v>
      </c>
      <c r="C17" s="9" t="str">
        <f>IF(E6&gt;Hc,"T","A")</f>
        <v>T</v>
      </c>
    </row>
    <row r="19" spans="2:3" x14ac:dyDescent="0.2">
      <c r="B19" s="12" t="s">
        <v>15</v>
      </c>
    </row>
    <row r="21" spans="2:3" x14ac:dyDescent="0.2">
      <c r="B21" s="34" t="s">
        <v>39</v>
      </c>
      <c r="C21" s="13"/>
    </row>
    <row r="22" spans="2:3" x14ac:dyDescent="0.2">
      <c r="B22" s="10" t="s">
        <v>40</v>
      </c>
      <c r="C22" s="6">
        <v>10</v>
      </c>
    </row>
    <row r="23" spans="2:3" x14ac:dyDescent="0.2">
      <c r="B23" s="10" t="s">
        <v>41</v>
      </c>
      <c r="C23" s="6">
        <f>237-180</f>
        <v>57</v>
      </c>
    </row>
    <row r="24" spans="2:3" x14ac:dyDescent="0.2">
      <c r="B24" s="10" t="s">
        <v>42</v>
      </c>
      <c r="C24" s="6">
        <f>+C15</f>
        <v>191</v>
      </c>
    </row>
    <row r="25" spans="2:3" x14ac:dyDescent="0.2">
      <c r="B25" s="25" t="s">
        <v>43</v>
      </c>
      <c r="C25" s="30">
        <f>C16+C22*(COS(RADIANS(C24-C23)))</f>
        <v>103.3142867237123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5CC7-E0A4-40F0-BEBD-DC7665A724FD}">
  <dimension ref="B2:G19"/>
  <sheetViews>
    <sheetView showGridLines="0" zoomScale="140" zoomScaleNormal="140" workbookViewId="0">
      <selection activeCell="F16" sqref="F16"/>
    </sheetView>
  </sheetViews>
  <sheetFormatPr defaultRowHeight="12" outlineLevelCol="1" x14ac:dyDescent="0.2"/>
  <cols>
    <col min="1" max="1" width="1.6640625" customWidth="1"/>
    <col min="2" max="2" width="22.6640625" customWidth="1"/>
    <col min="3" max="4" width="10.6640625" customWidth="1"/>
    <col min="5" max="7" width="10.6640625" customWidth="1" outlineLevel="1"/>
    <col min="8" max="8" width="9.1640625"/>
  </cols>
  <sheetData>
    <row r="2" spans="2:7" x14ac:dyDescent="0.2">
      <c r="B2" t="s">
        <v>18</v>
      </c>
    </row>
    <row r="3" spans="2:7" x14ac:dyDescent="0.2">
      <c r="B3" s="11" t="s">
        <v>19</v>
      </c>
    </row>
    <row r="5" spans="2:7" x14ac:dyDescent="0.2"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2:7" x14ac:dyDescent="0.2">
      <c r="B6" s="10" t="s">
        <v>12</v>
      </c>
      <c r="C6" s="7">
        <v>90</v>
      </c>
      <c r="D6" s="5">
        <v>0</v>
      </c>
      <c r="E6" s="3">
        <f>C6+D6/60</f>
        <v>90</v>
      </c>
      <c r="F6" s="2"/>
      <c r="G6" s="2"/>
    </row>
    <row r="7" spans="2:7" x14ac:dyDescent="0.2">
      <c r="B7" s="10" t="s">
        <v>16</v>
      </c>
      <c r="C7" s="23">
        <v>24</v>
      </c>
      <c r="D7" s="24">
        <v>5.2986133374384536</v>
      </c>
      <c r="E7" s="3">
        <f>C7+D7/60</f>
        <v>24.088310222290641</v>
      </c>
      <c r="F7" s="2">
        <f>SIN(RADIANS(aLat))</f>
        <v>0.40814421079075608</v>
      </c>
      <c r="G7" s="2">
        <f>COS(RADIANS(aLat))</f>
        <v>0.91291746790057138</v>
      </c>
    </row>
    <row r="8" spans="2:7" x14ac:dyDescent="0.2">
      <c r="B8" s="10" t="s">
        <v>17</v>
      </c>
      <c r="C8" s="23">
        <v>152</v>
      </c>
      <c r="D8" s="24">
        <v>34.873816849528794</v>
      </c>
      <c r="E8" s="3">
        <f>C8+D8/60</f>
        <v>152.58123028082548</v>
      </c>
      <c r="F8" s="2"/>
      <c r="G8" s="2"/>
    </row>
    <row r="9" spans="2:7" x14ac:dyDescent="0.2">
      <c r="B9" s="25" t="s">
        <v>1</v>
      </c>
      <c r="C9" s="26">
        <f>TRUNC(dec)</f>
        <v>35</v>
      </c>
      <c r="D9" s="27">
        <f>(dec-C9)*60</f>
        <v>10.761971732419084</v>
      </c>
      <c r="E9" s="21">
        <f>DEGREES(ASIN(F9))</f>
        <v>35.179366195540318</v>
      </c>
      <c r="F9" s="2">
        <f>(G14*G7*G12)+(F7*F12)</f>
        <v>0.57613800218183475</v>
      </c>
      <c r="G9" s="2">
        <f>COS(RADIANS(dec))</f>
        <v>0.81735243465834495</v>
      </c>
    </row>
    <row r="10" spans="2:7" x14ac:dyDescent="0.2">
      <c r="B10" s="25" t="s">
        <v>3</v>
      </c>
      <c r="C10" s="26">
        <f>TRUNC(GHA)</f>
        <v>138</v>
      </c>
      <c r="D10" s="27">
        <f>(GHA-C10)*60</f>
        <v>12.900572775816954</v>
      </c>
      <c r="E10" s="21">
        <f>IF(DR!Azimuth&gt;180,aLon+LHA,aLon-LHA)</f>
        <v>138.21500954626362</v>
      </c>
      <c r="F10" s="2"/>
      <c r="G10" s="2"/>
    </row>
    <row r="11" spans="2:7" x14ac:dyDescent="0.2">
      <c r="B11" t="s">
        <v>2</v>
      </c>
      <c r="C11" s="20">
        <f>TRUNC(LHA)</f>
        <v>14</v>
      </c>
      <c r="D11" s="21">
        <f>(LHA-C11)*60</f>
        <v>21.973244073710987</v>
      </c>
      <c r="E11" s="21">
        <f>DEGREES(ACOS(G11))</f>
        <v>14.36622073456185</v>
      </c>
      <c r="F11" s="2">
        <f>SIN(RADIANS(LHA))</f>
        <v>0.24811880666998429</v>
      </c>
      <c r="G11" s="2">
        <f>(F12-(F9*F7))/(G9*G7)</f>
        <v>0.96872961025079796</v>
      </c>
    </row>
    <row r="12" spans="2:7" x14ac:dyDescent="0.2">
      <c r="B12" t="s">
        <v>0</v>
      </c>
      <c r="C12" s="22">
        <f>TRUNC(Hc)</f>
        <v>73</v>
      </c>
      <c r="D12" s="21">
        <f>+Hc-C12</f>
        <v>0.33333333333334281</v>
      </c>
      <c r="E12" s="21">
        <f>DEGREES(ASIN(F12))</f>
        <v>73.333333333333343</v>
      </c>
      <c r="F12" s="2">
        <f>+G13</f>
        <v>0.9579895123154889</v>
      </c>
      <c r="G12" s="2">
        <f>+F13</f>
        <v>0.28680323271109026</v>
      </c>
    </row>
    <row r="13" spans="2:7" x14ac:dyDescent="0.2">
      <c r="B13" t="s">
        <v>10</v>
      </c>
      <c r="C13" s="20">
        <f>TRUNC(Zenith_distance)</f>
        <v>16</v>
      </c>
      <c r="D13" s="21">
        <f>+Zenith_distance-C13</f>
        <v>0.66666666666666785</v>
      </c>
      <c r="E13" s="21">
        <f>+C16/60</f>
        <v>16.666666666666668</v>
      </c>
      <c r="F13" s="2">
        <f>SIN(RADIANS(Zenith_distance))</f>
        <v>0.28680323271109026</v>
      </c>
      <c r="G13" s="2">
        <f>COS(RADIANS(Zenith_distance))</f>
        <v>0.9579895123154889</v>
      </c>
    </row>
    <row r="14" spans="2:7" x14ac:dyDescent="0.2">
      <c r="B14" t="s">
        <v>9</v>
      </c>
      <c r="C14" s="20">
        <f>TRUNC(azimuth_angle)</f>
        <v>45</v>
      </c>
      <c r="D14" s="21">
        <f>(azimuth_angle-C14)*100*0.6</f>
        <v>0</v>
      </c>
      <c r="E14" s="21">
        <f>IF(aLat&gt;0,IF(Azimuth&gt;180,360-Azimuth,Azimuth),IF(Azimuth&gt;180,Azimuth-180,180-Azimuth))</f>
        <v>45</v>
      </c>
      <c r="F14" s="2">
        <f>SIN(RADIANS(azimuth_angle))</f>
        <v>0.70710678118654746</v>
      </c>
      <c r="G14" s="2">
        <f>COS(RADIANS(azimuth_angle))</f>
        <v>0.70710678118654757</v>
      </c>
    </row>
    <row r="15" spans="2:7" x14ac:dyDescent="0.2">
      <c r="B15" t="s">
        <v>11</v>
      </c>
      <c r="C15" s="23">
        <v>45</v>
      </c>
      <c r="E15" s="3">
        <f>+C15+D15/60</f>
        <v>45</v>
      </c>
      <c r="F15" s="2"/>
      <c r="G15" s="2"/>
    </row>
    <row r="16" spans="2:7" x14ac:dyDescent="0.2">
      <c r="B16" s="11" t="s">
        <v>14</v>
      </c>
      <c r="C16" s="24">
        <v>1000</v>
      </c>
      <c r="D16" s="10" t="s">
        <v>20</v>
      </c>
      <c r="E16" s="4"/>
      <c r="G16" s="2"/>
    </row>
    <row r="17" spans="2:3" x14ac:dyDescent="0.2">
      <c r="B17" s="31" t="s">
        <v>13</v>
      </c>
      <c r="C17" s="32" t="s">
        <v>37</v>
      </c>
    </row>
    <row r="19" spans="2:3" x14ac:dyDescent="0.2">
      <c r="B19" s="12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5B84-D011-4043-A670-E6725B817023}">
  <dimension ref="B5:I45"/>
  <sheetViews>
    <sheetView showGridLines="0" tabSelected="1" workbookViewId="0">
      <selection activeCell="B7" sqref="B7"/>
    </sheetView>
  </sheetViews>
  <sheetFormatPr defaultRowHeight="12" x14ac:dyDescent="0.2"/>
  <cols>
    <col min="6" max="6" width="12.5" bestFit="1" customWidth="1"/>
  </cols>
  <sheetData>
    <row r="5" spans="2:8" x14ac:dyDescent="0.2">
      <c r="C5" t="s">
        <v>24</v>
      </c>
      <c r="D5" t="s">
        <v>25</v>
      </c>
      <c r="E5" t="s">
        <v>50</v>
      </c>
      <c r="F5" t="s">
        <v>49</v>
      </c>
      <c r="G5" t="s">
        <v>47</v>
      </c>
      <c r="H5" t="s">
        <v>48</v>
      </c>
    </row>
    <row r="6" spans="2:8" x14ac:dyDescent="0.2">
      <c r="B6" t="s">
        <v>37</v>
      </c>
      <c r="C6" s="40"/>
      <c r="F6" s="16">
        <f>IF(E8=0,0,IF(E8=360,0,DEGREES(ACOS(cosX))))</f>
        <v>1.3433393565996714</v>
      </c>
      <c r="G6" s="16">
        <f>SIN(RADIANS(F6))</f>
        <v>2.3443546784571365E-2</v>
      </c>
      <c r="H6" s="35">
        <f>((cosa-(cosb*cosc))/(sinb*sinc))</f>
        <v>0.99972516228919617</v>
      </c>
    </row>
    <row r="8" spans="2:8" x14ac:dyDescent="0.2">
      <c r="B8" t="s">
        <v>44</v>
      </c>
      <c r="C8" s="40">
        <v>48</v>
      </c>
      <c r="D8" s="36">
        <v>122.8</v>
      </c>
      <c r="E8" s="36">
        <v>115</v>
      </c>
      <c r="F8">
        <f>IF(E8&lt;180,E8,360-E8)</f>
        <v>115</v>
      </c>
      <c r="G8" s="16">
        <f>SIN(RADIANS(F8))</f>
        <v>0.90630778703665005</v>
      </c>
      <c r="H8" s="16">
        <f>COS(RADIANS(F8))</f>
        <v>-0.42261826174069933</v>
      </c>
    </row>
    <row r="10" spans="2:8" x14ac:dyDescent="0.2">
      <c r="B10" t="s">
        <v>38</v>
      </c>
      <c r="C10" s="41">
        <f>90-F17</f>
        <v>47.569503634684978</v>
      </c>
      <c r="D10">
        <f>IF(E8&gt;180,D8+F6,D8-F6)</f>
        <v>121.45666064340033</v>
      </c>
      <c r="F10" s="16">
        <f>DEGREES(ASIN(G10))</f>
        <v>64.005060611554157</v>
      </c>
      <c r="G10" s="16">
        <f>(sinY*sinc)/(sinb)</f>
        <v>0.89883276163277648</v>
      </c>
      <c r="H10" s="16">
        <f>COS(RADIANS(F10))</f>
        <v>0.43829175969392387</v>
      </c>
    </row>
    <row r="14" spans="2:8" x14ac:dyDescent="0.2">
      <c r="C14" t="s">
        <v>45</v>
      </c>
      <c r="F14" t="s">
        <v>46</v>
      </c>
      <c r="G14" t="s">
        <v>47</v>
      </c>
      <c r="H14" t="s">
        <v>48</v>
      </c>
    </row>
    <row r="15" spans="2:8" x14ac:dyDescent="0.2">
      <c r="B15" t="s">
        <v>34</v>
      </c>
      <c r="C15" s="36">
        <v>60</v>
      </c>
      <c r="F15" s="16">
        <f>+C15/60</f>
        <v>1</v>
      </c>
      <c r="G15" s="16">
        <f>SIN(RADIANS(F15))</f>
        <v>1.7452406437283512E-2</v>
      </c>
      <c r="H15" s="16">
        <f>COS(RADIANS(F15))</f>
        <v>0.99984769515639127</v>
      </c>
    </row>
    <row r="17" spans="2:9" x14ac:dyDescent="0.2">
      <c r="B17" t="s">
        <v>35</v>
      </c>
      <c r="F17" s="16">
        <f>DEGREES(ACOS(H17))</f>
        <v>42.430496365315022</v>
      </c>
      <c r="G17" s="16">
        <f>SIN(RADIANS(F17))</f>
        <v>0.67469534375445095</v>
      </c>
      <c r="H17" s="16">
        <f>(cosc*cosa)+(sinc*sina*cosY)</f>
        <v>0.73809633051253087</v>
      </c>
      <c r="I17" t="s">
        <v>59</v>
      </c>
    </row>
    <row r="19" spans="2:9" x14ac:dyDescent="0.2">
      <c r="B19" t="s">
        <v>36</v>
      </c>
      <c r="C19">
        <f>+F19*60</f>
        <v>2520</v>
      </c>
      <c r="F19" s="16">
        <f>90-C8</f>
        <v>42</v>
      </c>
      <c r="G19" s="16">
        <f>SIN(RADIANS(F19))</f>
        <v>0.66913060635885824</v>
      </c>
      <c r="H19" s="16">
        <f>COS(RADIANS(F19))</f>
        <v>0.74314482547739424</v>
      </c>
    </row>
    <row r="22" spans="2:9" x14ac:dyDescent="0.2">
      <c r="B22">
        <v>1</v>
      </c>
      <c r="C22" t="s">
        <v>55</v>
      </c>
    </row>
    <row r="24" spans="2:9" x14ac:dyDescent="0.2">
      <c r="B24">
        <v>2</v>
      </c>
      <c r="C24" t="s">
        <v>56</v>
      </c>
    </row>
    <row r="26" spans="2:9" x14ac:dyDescent="0.2">
      <c r="B26">
        <v>3</v>
      </c>
      <c r="C26" s="11" t="s">
        <v>57</v>
      </c>
    </row>
    <row r="28" spans="2:9" x14ac:dyDescent="0.2">
      <c r="B28">
        <v>4</v>
      </c>
      <c r="C28" s="11" t="s">
        <v>60</v>
      </c>
    </row>
    <row r="29" spans="2:9" x14ac:dyDescent="0.2">
      <c r="C29" s="11" t="s">
        <v>58</v>
      </c>
    </row>
    <row r="30" spans="2:9" x14ac:dyDescent="0.2">
      <c r="C30" s="11" t="s">
        <v>62</v>
      </c>
    </row>
    <row r="31" spans="2:9" x14ac:dyDescent="0.2">
      <c r="C31" s="39" t="s">
        <v>61</v>
      </c>
    </row>
    <row r="32" spans="2:9" x14ac:dyDescent="0.2">
      <c r="C32" s="37"/>
    </row>
    <row r="33" spans="2:5" x14ac:dyDescent="0.2">
      <c r="B33">
        <v>5</v>
      </c>
      <c r="C33" s="39" t="s">
        <v>63</v>
      </c>
    </row>
    <row r="34" spans="2:5" x14ac:dyDescent="0.2">
      <c r="C34" s="11" t="s">
        <v>64</v>
      </c>
    </row>
    <row r="36" spans="2:5" ht="16.5" x14ac:dyDescent="0.3">
      <c r="B36" s="38" t="s">
        <v>65</v>
      </c>
    </row>
    <row r="39" spans="2:5" x14ac:dyDescent="0.2">
      <c r="B39" t="s">
        <v>51</v>
      </c>
      <c r="C39">
        <f>+sinX</f>
        <v>2.3443546784571365E-2</v>
      </c>
      <c r="E39">
        <f>+C39/C43</f>
        <v>1.3432844845103424</v>
      </c>
    </row>
    <row r="40" spans="2:5" x14ac:dyDescent="0.2">
      <c r="B40" t="s">
        <v>53</v>
      </c>
      <c r="C40">
        <f>+sinY</f>
        <v>0.90630778703665005</v>
      </c>
      <c r="E40">
        <f>+C40/C44</f>
        <v>1.3432844845102299</v>
      </c>
    </row>
    <row r="41" spans="2:5" x14ac:dyDescent="0.2">
      <c r="B41" t="s">
        <v>54</v>
      </c>
      <c r="C41">
        <f>(C40*C45)/C44</f>
        <v>0.89883276163277648</v>
      </c>
      <c r="E41">
        <f>+C41/C45</f>
        <v>1.3432844845102299</v>
      </c>
    </row>
    <row r="43" spans="2:5" x14ac:dyDescent="0.2">
      <c r="B43" t="s">
        <v>52</v>
      </c>
      <c r="C43">
        <f>+sina</f>
        <v>1.7452406437283512E-2</v>
      </c>
    </row>
    <row r="44" spans="2:5" x14ac:dyDescent="0.2">
      <c r="B44" t="s">
        <v>61</v>
      </c>
      <c r="C44">
        <f>+sinb</f>
        <v>0.67469534375445095</v>
      </c>
    </row>
    <row r="45" spans="2:5" x14ac:dyDescent="0.2">
      <c r="B45" t="s">
        <v>54</v>
      </c>
      <c r="C45">
        <f>+sinc</f>
        <v>0.66913060635885824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3FA1-A9F7-428A-81B9-7140E7A568C0}">
  <dimension ref="B5:H32"/>
  <sheetViews>
    <sheetView showGridLines="0" zoomScale="140" zoomScaleNormal="140" workbookViewId="0"/>
  </sheetViews>
  <sheetFormatPr defaultRowHeight="12" x14ac:dyDescent="0.2"/>
  <cols>
    <col min="1" max="1" width="1.6640625" customWidth="1"/>
  </cols>
  <sheetData>
    <row r="5" spans="2:8" x14ac:dyDescent="0.2">
      <c r="F5" t="s">
        <v>21</v>
      </c>
    </row>
    <row r="8" spans="2:8" x14ac:dyDescent="0.2">
      <c r="B8">
        <f>90-C15</f>
        <v>90.336666666666673</v>
      </c>
      <c r="C8" t="s">
        <v>26</v>
      </c>
      <c r="G8">
        <f>90-H16</f>
        <v>42</v>
      </c>
      <c r="H8" t="s">
        <v>28</v>
      </c>
    </row>
    <row r="12" spans="2:8" x14ac:dyDescent="0.2">
      <c r="D12">
        <f>31+31.6/60</f>
        <v>31.526666666666667</v>
      </c>
      <c r="E12" t="s">
        <v>0</v>
      </c>
    </row>
    <row r="13" spans="2:8" x14ac:dyDescent="0.2">
      <c r="D13">
        <f>90-D12</f>
        <v>58.473333333333329</v>
      </c>
      <c r="E13" t="s">
        <v>29</v>
      </c>
    </row>
    <row r="14" spans="2:8" x14ac:dyDescent="0.2">
      <c r="C14" t="s">
        <v>23</v>
      </c>
    </row>
    <row r="15" spans="2:8" x14ac:dyDescent="0.2">
      <c r="B15" t="s">
        <v>27</v>
      </c>
      <c r="C15">
        <f>0-20.2/60</f>
        <v>-0.33666666666666667</v>
      </c>
      <c r="H15" t="s">
        <v>22</v>
      </c>
    </row>
    <row r="16" spans="2:8" x14ac:dyDescent="0.2">
      <c r="B16" t="s">
        <v>3</v>
      </c>
      <c r="C16" s="17">
        <f>+H17+D31</f>
        <v>160.51746157411293</v>
      </c>
      <c r="G16" t="s">
        <v>24</v>
      </c>
      <c r="H16">
        <v>48</v>
      </c>
    </row>
    <row r="17" spans="2:8" x14ac:dyDescent="0.2">
      <c r="G17" t="s">
        <v>25</v>
      </c>
      <c r="H17">
        <f>122+32.9/60</f>
        <v>122.54833333333333</v>
      </c>
    </row>
    <row r="21" spans="2:8" x14ac:dyDescent="0.2">
      <c r="D21" s="14" t="s">
        <v>31</v>
      </c>
      <c r="E21">
        <f>+D13*60</f>
        <v>3508.3999999999996</v>
      </c>
    </row>
    <row r="22" spans="2:8" x14ac:dyDescent="0.2">
      <c r="D22" s="14" t="s">
        <v>30</v>
      </c>
      <c r="E22">
        <v>226.2</v>
      </c>
    </row>
    <row r="23" spans="2:8" x14ac:dyDescent="0.2">
      <c r="D23" s="14" t="s">
        <v>22</v>
      </c>
      <c r="E23">
        <f>IF(E22&gt;180,360-E22,E22)</f>
        <v>133.80000000000001</v>
      </c>
    </row>
    <row r="25" spans="2:8" x14ac:dyDescent="0.2">
      <c r="D25" s="14" t="s">
        <v>32</v>
      </c>
      <c r="E25" t="s">
        <v>7</v>
      </c>
      <c r="F25" t="s">
        <v>8</v>
      </c>
    </row>
    <row r="26" spans="2:8" x14ac:dyDescent="0.2">
      <c r="C26" t="s">
        <v>27</v>
      </c>
      <c r="D26" s="16">
        <f>+C15</f>
        <v>-0.33666666666666667</v>
      </c>
      <c r="E26" s="15">
        <f>SIN(RADIANS(D26))</f>
        <v>-5.8759080023001956E-3</v>
      </c>
      <c r="F26" s="15">
        <f>COS(RADIANS(D26))</f>
        <v>0.99998273670356352</v>
      </c>
    </row>
    <row r="27" spans="2:8" x14ac:dyDescent="0.2">
      <c r="B27" t="s">
        <v>36</v>
      </c>
      <c r="C27" t="s">
        <v>26</v>
      </c>
      <c r="D27" s="16">
        <f>+B8</f>
        <v>90.336666666666673</v>
      </c>
      <c r="E27" s="15">
        <f t="shared" ref="E27:E32" si="0">SIN(RADIANS(D27))</f>
        <v>0.99998273670356352</v>
      </c>
      <c r="F27" s="15">
        <f t="shared" ref="F27:F31" si="1">COS(RADIANS(D27))</f>
        <v>-5.8759080023003613E-3</v>
      </c>
    </row>
    <row r="28" spans="2:8" x14ac:dyDescent="0.2">
      <c r="C28" t="s">
        <v>24</v>
      </c>
      <c r="D28" s="16">
        <f>+H16</f>
        <v>48</v>
      </c>
      <c r="E28" s="15">
        <f t="shared" si="0"/>
        <v>0.74314482547739424</v>
      </c>
      <c r="F28" s="15">
        <f t="shared" si="1"/>
        <v>0.66913060635885824</v>
      </c>
    </row>
    <row r="29" spans="2:8" x14ac:dyDescent="0.2">
      <c r="B29" t="s">
        <v>35</v>
      </c>
      <c r="C29" t="s">
        <v>28</v>
      </c>
      <c r="D29" s="16">
        <f>+G8</f>
        <v>42</v>
      </c>
      <c r="E29" s="15">
        <f t="shared" si="0"/>
        <v>0.66913060635885824</v>
      </c>
      <c r="F29" s="15">
        <f t="shared" si="1"/>
        <v>0.74314482547739424</v>
      </c>
    </row>
    <row r="30" spans="2:8" x14ac:dyDescent="0.2">
      <c r="B30" t="s">
        <v>34</v>
      </c>
      <c r="C30" t="s">
        <v>33</v>
      </c>
      <c r="D30" s="16">
        <f>+D13</f>
        <v>58.473333333333329</v>
      </c>
      <c r="E30" s="15">
        <f t="shared" si="0"/>
        <v>0.85239689014033482</v>
      </c>
      <c r="F30" s="15">
        <f t="shared" si="1"/>
        <v>0.52289534486270384</v>
      </c>
      <c r="G30">
        <f>(F29*F27)+(E29*E27*F31)</f>
        <v>0.52312824838149063</v>
      </c>
      <c r="H30" s="18"/>
    </row>
    <row r="31" spans="2:8" x14ac:dyDescent="0.2">
      <c r="B31" t="s">
        <v>37</v>
      </c>
      <c r="C31" t="s">
        <v>2</v>
      </c>
      <c r="D31" s="16">
        <f>DEGREES(ASIN(E31))</f>
        <v>37.969128240779611</v>
      </c>
      <c r="E31" s="15">
        <f>+E30*(E32/E27)</f>
        <v>0.61523679487319094</v>
      </c>
      <c r="F31" s="15">
        <f t="shared" si="1"/>
        <v>0.78834236612918573</v>
      </c>
    </row>
    <row r="32" spans="2:8" x14ac:dyDescent="0.2">
      <c r="B32" t="s">
        <v>38</v>
      </c>
      <c r="C32" t="s">
        <v>22</v>
      </c>
      <c r="D32" s="16">
        <f>+E23</f>
        <v>133.80000000000001</v>
      </c>
      <c r="E32" s="15">
        <f t="shared" si="0"/>
        <v>0.72176022809836193</v>
      </c>
      <c r="F32" s="15">
        <f t="shared" ref="F32" si="2">COS(RADIANS(D32))</f>
        <v>-0.69214317387040702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LoP</vt:lpstr>
      <vt:lpstr>DR</vt:lpstr>
      <vt:lpstr>Sheet1</vt:lpstr>
      <vt:lpstr>Pt 2 given Pt 1 and Intercept</vt:lpstr>
      <vt:lpstr>DR!aLat</vt:lpstr>
      <vt:lpstr>aLat</vt:lpstr>
      <vt:lpstr>DR!aLon</vt:lpstr>
      <vt:lpstr>aLon</vt:lpstr>
      <vt:lpstr>DR!Azimuth</vt:lpstr>
      <vt:lpstr>Azimuth</vt:lpstr>
      <vt:lpstr>DR!azimuth_angle</vt:lpstr>
      <vt:lpstr>azimuth_angle</vt:lpstr>
      <vt:lpstr>cosa</vt:lpstr>
      <vt:lpstr>cosb</vt:lpstr>
      <vt:lpstr>cosc</vt:lpstr>
      <vt:lpstr>cosX</vt:lpstr>
      <vt:lpstr>cosY</vt:lpstr>
      <vt:lpstr>DR!dec</vt:lpstr>
      <vt:lpstr>dec</vt:lpstr>
      <vt:lpstr>DR!GHA</vt:lpstr>
      <vt:lpstr>GHA</vt:lpstr>
      <vt:lpstr>DR!Hc</vt:lpstr>
      <vt:lpstr>Hc</vt:lpstr>
      <vt:lpstr>DR!LHA</vt:lpstr>
      <vt:lpstr>LHA</vt:lpstr>
      <vt:lpstr>sina</vt:lpstr>
      <vt:lpstr>sinb</vt:lpstr>
      <vt:lpstr>sinc</vt:lpstr>
      <vt:lpstr>sinX</vt:lpstr>
      <vt:lpstr>sinY</vt:lpstr>
      <vt:lpstr>DR!Zenith_distance</vt:lpstr>
      <vt:lpstr>Zenith_distance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Hahns Burg</dc:creator>
  <cp:lastModifiedBy>Hahns Burg</cp:lastModifiedBy>
  <dcterms:created xsi:type="dcterms:W3CDTF">2018-06-30T03:28:23Z</dcterms:created>
  <dcterms:modified xsi:type="dcterms:W3CDTF">2020-06-28T18:13:49Z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hahnsb@microsoft.com</vt:lpwstr>
  </property>
  <property fmtid="{D5CDD505-2E9C-101B-9397-08002B2CF9AE}" pid="5" name="MSIP_Label_f42aa342-8706-4288-bd11-ebb85995028c_SetDate">
    <vt:lpwstr>2018-06-30T04:03:58.6289395Z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