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etat\Dropbox\Celestial_navigation\"/>
    </mc:Choice>
  </mc:AlternateContent>
  <xr:revisionPtr revIDLastSave="0" documentId="8_{919F3631-E147-4D9E-8412-2E00F019755A}" xr6:coauthVersionLast="45" xr6:coauthVersionMax="45" xr10:uidLastSave="{00000000-0000-0000-0000-000000000000}"/>
  <bookViews>
    <workbookView xWindow="-120" yWindow="-120" windowWidth="25440" windowHeight="15390" xr2:uid="{8A2623E5-3B51-411C-BD6C-EABB12284E1D}"/>
  </bookViews>
  <sheets>
    <sheet name="2020.10.23" sheetId="1" r:id="rId1"/>
    <sheet name="2020.10.2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0" i="2" l="1"/>
  <c r="F38" i="2"/>
  <c r="E38" i="2" s="1"/>
  <c r="X37" i="2"/>
  <c r="X38" i="2" s="1"/>
  <c r="W38" i="2" s="1"/>
  <c r="F37" i="2"/>
  <c r="X36" i="2"/>
  <c r="F36" i="2"/>
  <c r="X26" i="2"/>
  <c r="F26" i="2"/>
  <c r="W23" i="2"/>
  <c r="X23" i="2" s="1"/>
  <c r="F23" i="2"/>
  <c r="E23" i="2"/>
  <c r="W22" i="2"/>
  <c r="E22" i="2"/>
  <c r="AB16" i="2"/>
  <c r="J16" i="2"/>
  <c r="AB13" i="2"/>
  <c r="J13" i="2"/>
  <c r="W12" i="2"/>
  <c r="AF11" i="2"/>
  <c r="N11" i="2"/>
  <c r="AF10" i="2"/>
  <c r="X10" i="2"/>
  <c r="W10" i="2"/>
  <c r="N10" i="2"/>
  <c r="F10" i="2"/>
  <c r="E10" i="2"/>
  <c r="E12" i="2" s="1"/>
  <c r="AF9" i="2"/>
  <c r="N9" i="2"/>
  <c r="AF8" i="2"/>
  <c r="X8" i="2"/>
  <c r="N8" i="2"/>
  <c r="F8" i="2"/>
  <c r="AF7" i="2"/>
  <c r="AF13" i="2" s="1"/>
  <c r="W7" i="2"/>
  <c r="X7" i="2" s="1"/>
  <c r="N7" i="2"/>
  <c r="N13" i="2" s="1"/>
  <c r="F7" i="2"/>
  <c r="AF5" i="2"/>
  <c r="AE5" i="2"/>
  <c r="N5" i="2"/>
  <c r="O5" i="2" s="1"/>
  <c r="M5" i="2"/>
  <c r="AF4" i="2"/>
  <c r="S4" i="2"/>
  <c r="N4" i="2"/>
  <c r="M4" i="2"/>
  <c r="A4" i="2"/>
  <c r="AF3" i="2"/>
  <c r="AE3" i="2"/>
  <c r="N3" i="2"/>
  <c r="M3" i="2"/>
  <c r="AF2" i="2"/>
  <c r="AE2" i="2"/>
  <c r="AG3" i="2" s="1"/>
  <c r="N2" i="2"/>
  <c r="O3" i="2" s="1"/>
  <c r="M2" i="2"/>
  <c r="M60" i="1"/>
  <c r="X37" i="1"/>
  <c r="X38" i="1" s="1"/>
  <c r="W38" i="1" s="1"/>
  <c r="F37" i="1"/>
  <c r="F38" i="1" s="1"/>
  <c r="E38" i="1" s="1"/>
  <c r="X36" i="1"/>
  <c r="F36" i="1"/>
  <c r="X26" i="1"/>
  <c r="F26" i="1"/>
  <c r="W22" i="1"/>
  <c r="W23" i="1" s="1"/>
  <c r="X23" i="1" s="1"/>
  <c r="E22" i="1"/>
  <c r="E23" i="1" s="1"/>
  <c r="F23" i="1" s="1"/>
  <c r="AB13" i="1"/>
  <c r="J13" i="1"/>
  <c r="M3" i="1" s="1"/>
  <c r="AF11" i="1"/>
  <c r="N11" i="1"/>
  <c r="AF10" i="1"/>
  <c r="W10" i="1"/>
  <c r="N10" i="1"/>
  <c r="E10" i="1"/>
  <c r="F10" i="1" s="1"/>
  <c r="AF9" i="1"/>
  <c r="AF13" i="1" s="1"/>
  <c r="N9" i="1"/>
  <c r="AF8" i="1"/>
  <c r="X8" i="1"/>
  <c r="N8" i="1"/>
  <c r="F8" i="1"/>
  <c r="AF7" i="1"/>
  <c r="W7" i="1"/>
  <c r="X7" i="1" s="1"/>
  <c r="N7" i="1"/>
  <c r="N13" i="1" s="1"/>
  <c r="F7" i="1"/>
  <c r="AF5" i="1"/>
  <c r="AE5" i="1"/>
  <c r="N5" i="1"/>
  <c r="AF4" i="1"/>
  <c r="AE4" i="1"/>
  <c r="AG5" i="1" s="1"/>
  <c r="S4" i="1"/>
  <c r="N4" i="1"/>
  <c r="A4" i="1"/>
  <c r="AF3" i="1"/>
  <c r="AG3" i="1" s="1"/>
  <c r="AE3" i="1"/>
  <c r="N3" i="1"/>
  <c r="AF2" i="1"/>
  <c r="AE2" i="1"/>
  <c r="N2" i="1"/>
  <c r="M2" i="1"/>
  <c r="AH3" i="2" l="1"/>
  <c r="V5" i="2" s="1"/>
  <c r="P5" i="2"/>
  <c r="D4" i="2" s="1"/>
  <c r="K13" i="2"/>
  <c r="D3" i="2" s="1"/>
  <c r="L13" i="2"/>
  <c r="E3" i="2" s="1"/>
  <c r="AI3" i="1"/>
  <c r="W5" i="1" s="1"/>
  <c r="AH3" i="1"/>
  <c r="V5" i="1" s="1"/>
  <c r="K13" i="1"/>
  <c r="D3" i="1" s="1"/>
  <c r="AH5" i="1"/>
  <c r="V4" i="1" s="1"/>
  <c r="AD13" i="1"/>
  <c r="W3" i="1" s="1"/>
  <c r="AC13" i="1"/>
  <c r="V3" i="1" s="1"/>
  <c r="O3" i="1"/>
  <c r="W12" i="1"/>
  <c r="X10" i="1"/>
  <c r="P3" i="2"/>
  <c r="D5" i="2" s="1"/>
  <c r="AC13" i="2"/>
  <c r="V3" i="2" s="1"/>
  <c r="E12" i="1"/>
  <c r="J16" i="1"/>
  <c r="M4" i="1"/>
  <c r="M5" i="1"/>
  <c r="O5" i="1" s="1"/>
  <c r="AB16" i="1"/>
  <c r="AE4" i="2"/>
  <c r="AG5" i="2" s="1"/>
  <c r="AH5" i="2" l="1"/>
  <c r="V4" i="2" s="1"/>
  <c r="Q3" i="1"/>
  <c r="E5" i="1" s="1"/>
  <c r="P3" i="1"/>
  <c r="D5" i="1" s="1"/>
  <c r="E13" i="2"/>
  <c r="E14" i="2" s="1"/>
  <c r="F14" i="2" s="1"/>
  <c r="F4" i="2"/>
  <c r="Q3" i="2"/>
  <c r="E5" i="2" s="1"/>
  <c r="F5" i="2" s="1"/>
  <c r="F19" i="2" s="1"/>
  <c r="X3" i="1"/>
  <c r="L13" i="1"/>
  <c r="E3" i="1" s="1"/>
  <c r="F3" i="1" s="1"/>
  <c r="Q5" i="2"/>
  <c r="E4" i="2" s="1"/>
  <c r="P5" i="1"/>
  <c r="D4" i="1" s="1"/>
  <c r="V18" i="1"/>
  <c r="X5" i="2"/>
  <c r="X19" i="2" s="1"/>
  <c r="AD13" i="2"/>
  <c r="W3" i="2" s="1"/>
  <c r="X3" i="2" s="1"/>
  <c r="AI5" i="1"/>
  <c r="W4" i="1" s="1"/>
  <c r="W18" i="1" s="1"/>
  <c r="X5" i="1"/>
  <c r="X19" i="1" s="1"/>
  <c r="F3" i="2"/>
  <c r="F16" i="2" s="1"/>
  <c r="AI3" i="2"/>
  <c r="W5" i="2" s="1"/>
  <c r="F27" i="2" l="1"/>
  <c r="D19" i="2"/>
  <c r="E19" i="2" s="1"/>
  <c r="G19" i="2"/>
  <c r="D16" i="2"/>
  <c r="E16" i="2" s="1"/>
  <c r="G16" i="2"/>
  <c r="F18" i="2"/>
  <c r="G4" i="2"/>
  <c r="X27" i="2"/>
  <c r="V19" i="2"/>
  <c r="W19" i="2" s="1"/>
  <c r="Y19" i="2"/>
  <c r="V19" i="1"/>
  <c r="W19" i="1" s="1"/>
  <c r="Y19" i="1"/>
  <c r="X27" i="1"/>
  <c r="D18" i="1"/>
  <c r="E13" i="1"/>
  <c r="E14" i="1" s="1"/>
  <c r="F14" i="1" s="1"/>
  <c r="F16" i="1" s="1"/>
  <c r="F4" i="1"/>
  <c r="X4" i="1"/>
  <c r="Q5" i="1"/>
  <c r="E4" i="1" s="1"/>
  <c r="E18" i="1" s="1"/>
  <c r="F5" i="1"/>
  <c r="F19" i="1" s="1"/>
  <c r="AI5" i="2"/>
  <c r="W4" i="2" s="1"/>
  <c r="X4" i="2" s="1"/>
  <c r="X18" i="2" l="1"/>
  <c r="Y4" i="2"/>
  <c r="W13" i="2" s="1"/>
  <c r="W14" i="2" s="1"/>
  <c r="X14" i="2" s="1"/>
  <c r="X16" i="2" s="1"/>
  <c r="D16" i="1"/>
  <c r="E16" i="1" s="1"/>
  <c r="G16" i="1"/>
  <c r="V27" i="2"/>
  <c r="W27" i="2" s="1"/>
  <c r="Y27" i="2"/>
  <c r="F18" i="1"/>
  <c r="G4" i="1"/>
  <c r="D19" i="1"/>
  <c r="E19" i="1" s="1"/>
  <c r="G19" i="1"/>
  <c r="F27" i="1"/>
  <c r="V27" i="1"/>
  <c r="W27" i="1" s="1"/>
  <c r="Y27" i="1"/>
  <c r="E18" i="2"/>
  <c r="F24" i="2"/>
  <c r="D18" i="2"/>
  <c r="G18" i="2"/>
  <c r="G30" i="2" s="1"/>
  <c r="D27" i="2"/>
  <c r="E27" i="2" s="1"/>
  <c r="G27" i="2"/>
  <c r="Y4" i="1"/>
  <c r="W13" i="1" s="1"/>
  <c r="W14" i="1" s="1"/>
  <c r="X14" i="1" s="1"/>
  <c r="X16" i="1" s="1"/>
  <c r="X18" i="1"/>
  <c r="D24" i="2" l="1"/>
  <c r="G24" i="2"/>
  <c r="E24" i="2"/>
  <c r="W16" i="1"/>
  <c r="V16" i="1"/>
  <c r="Y16" i="1"/>
  <c r="Y30" i="1" s="1"/>
  <c r="F24" i="1"/>
  <c r="G18" i="1"/>
  <c r="G30" i="1" s="1"/>
  <c r="Y16" i="2"/>
  <c r="V16" i="2"/>
  <c r="W16" i="2" s="1"/>
  <c r="X24" i="1"/>
  <c r="Y18" i="1"/>
  <c r="D27" i="1"/>
  <c r="G27" i="1"/>
  <c r="E27" i="1"/>
  <c r="X24" i="2"/>
  <c r="V18" i="2"/>
  <c r="W18" i="2" s="1"/>
  <c r="Y18" i="2"/>
  <c r="V24" i="1" l="1"/>
  <c r="W24" i="1" s="1"/>
  <c r="Y24" i="1"/>
  <c r="V24" i="2"/>
  <c r="W24" i="2" s="1"/>
  <c r="Y24" i="2"/>
  <c r="D24" i="1"/>
  <c r="E24" i="1" s="1"/>
  <c r="G24" i="1"/>
  <c r="G31" i="2"/>
  <c r="G29" i="2"/>
  <c r="Y30" i="2"/>
  <c r="G33" i="2" l="1"/>
  <c r="F33" i="2" s="1"/>
  <c r="Y31" i="1"/>
  <c r="Y29" i="1"/>
  <c r="Y33" i="1" s="1"/>
  <c r="X33" i="1" s="1"/>
  <c r="G31" i="1"/>
  <c r="G29" i="1"/>
  <c r="Y31" i="2"/>
  <c r="Y29" i="2"/>
  <c r="Y33" i="2" s="1"/>
  <c r="X33" i="2" s="1"/>
  <c r="V33" i="2" l="1"/>
  <c r="X39" i="2"/>
  <c r="W39" i="2" s="1"/>
  <c r="W41" i="2" s="1"/>
  <c r="U43" i="2" s="1"/>
  <c r="W33" i="2"/>
  <c r="W33" i="1"/>
  <c r="X39" i="1"/>
  <c r="W39" i="1" s="1"/>
  <c r="W41" i="1" s="1"/>
  <c r="U43" i="1" s="1"/>
  <c r="V33" i="1"/>
  <c r="G33" i="1"/>
  <c r="F33" i="1" s="1"/>
  <c r="D33" i="2"/>
  <c r="E33" i="2" s="1"/>
  <c r="F39" i="2"/>
  <c r="E39" i="2" s="1"/>
  <c r="E41" i="2" s="1"/>
  <c r="C43" i="2" s="1"/>
  <c r="F39" i="1" l="1"/>
  <c r="E39" i="1" s="1"/>
  <c r="E41" i="1" s="1"/>
  <c r="C43" i="1" s="1"/>
  <c r="D33" i="1"/>
  <c r="E33" i="1" s="1"/>
  <c r="U45" i="2"/>
  <c r="V45" i="2"/>
  <c r="J60" i="2" s="1"/>
  <c r="C45" i="2"/>
  <c r="D45" i="2"/>
  <c r="G60" i="2" s="1"/>
  <c r="V45" i="1"/>
  <c r="J60" i="1" s="1"/>
  <c r="U45" i="1"/>
  <c r="I60" i="2" l="1"/>
  <c r="U46" i="2"/>
  <c r="K60" i="2" s="1"/>
  <c r="F60" i="2"/>
  <c r="C46" i="2"/>
  <c r="H60" i="2" s="1"/>
  <c r="M49" i="2"/>
  <c r="U46" i="1"/>
  <c r="K60" i="1" s="1"/>
  <c r="I60" i="1"/>
  <c r="C45" i="1"/>
  <c r="D45" i="1"/>
  <c r="G60" i="1" s="1"/>
  <c r="M49" i="1" l="1"/>
  <c r="F60" i="1"/>
  <c r="C46" i="1"/>
  <c r="H60" i="1" s="1"/>
  <c r="M51" i="2"/>
  <c r="N60" i="2" s="1"/>
  <c r="L60" i="2"/>
  <c r="L60" i="1" l="1"/>
  <c r="M51" i="1"/>
  <c r="N60" i="1" s="1"/>
</calcChain>
</file>

<file path=xl/sharedStrings.xml><?xml version="1.0" encoding="utf-8"?>
<sst xmlns="http://schemas.openxmlformats.org/spreadsheetml/2006/main" count="194" uniqueCount="70">
  <si>
    <t>Moon - Jupiter near limb</t>
  </si>
  <si>
    <t>Δt sec</t>
  </si>
  <si>
    <t>Hs</t>
  </si>
  <si>
    <t>Moon - Mars far limb</t>
  </si>
  <si>
    <t>sextant</t>
  </si>
  <si>
    <t>deg</t>
  </si>
  <si>
    <t>rad</t>
  </si>
  <si>
    <t>Jupiter</t>
  </si>
  <si>
    <t>Mars</t>
  </si>
  <si>
    <t>LD</t>
  </si>
  <si>
    <t>HsMoon</t>
  </si>
  <si>
    <t>Moon</t>
  </si>
  <si>
    <t>HsJupiter</t>
  </si>
  <si>
    <t>HsMars</t>
  </si>
  <si>
    <t>Moon Near Limb - Jupiter</t>
  </si>
  <si>
    <t>Moon Far Limb - Mars</t>
  </si>
  <si>
    <t>IE SNO</t>
  </si>
  <si>
    <t>IE Link</t>
  </si>
  <si>
    <t>HP of Moon</t>
  </si>
  <si>
    <t>SD</t>
  </si>
  <si>
    <t>Average</t>
  </si>
  <si>
    <t>augmentation</t>
  </si>
  <si>
    <t>Augmented SD</t>
  </si>
  <si>
    <t>Observed LDapp</t>
  </si>
  <si>
    <t xml:space="preserve">This is the real UTC </t>
  </si>
  <si>
    <t>Observed LDApp</t>
  </si>
  <si>
    <t>HappMoon</t>
  </si>
  <si>
    <t>HappJupiter</t>
  </si>
  <si>
    <t>HappMars</t>
  </si>
  <si>
    <t>Moon corr</t>
  </si>
  <si>
    <t>HMoon</t>
  </si>
  <si>
    <t>Jupiter Refr</t>
  </si>
  <si>
    <t>Mars Refr</t>
  </si>
  <si>
    <t>Hjupiter</t>
  </si>
  <si>
    <t>Hmars</t>
  </si>
  <si>
    <t>Young</t>
  </si>
  <si>
    <t>I</t>
  </si>
  <si>
    <t>II</t>
  </si>
  <si>
    <t>III</t>
  </si>
  <si>
    <t>D Cleared</t>
  </si>
  <si>
    <t>Tabulated</t>
  </si>
  <si>
    <t>Delta 1hour</t>
  </si>
  <si>
    <t>Delta obs</t>
  </si>
  <si>
    <t>Delta time</t>
  </si>
  <si>
    <t>minute</t>
  </si>
  <si>
    <t>calculated UT</t>
  </si>
  <si>
    <t>calculated watch error</t>
  </si>
  <si>
    <t>diff:</t>
  </si>
  <si>
    <t>seconds</t>
  </si>
  <si>
    <t xml:space="preserve">The watch error average is: </t>
  </si>
  <si>
    <t>fast</t>
  </si>
  <si>
    <t>Actual watch error (compared to GPS)</t>
  </si>
  <si>
    <t>Difference:</t>
  </si>
  <si>
    <t>Clear sky. Relaxed measurements.</t>
  </si>
  <si>
    <t>Divergence of the results in function of index error:</t>
  </si>
  <si>
    <t>IE</t>
  </si>
  <si>
    <t>Near limb WE</t>
  </si>
  <si>
    <t>Near limb diff</t>
  </si>
  <si>
    <t>Far limb WE</t>
  </si>
  <si>
    <t>Far limb diff</t>
  </si>
  <si>
    <t>Avg WE</t>
  </si>
  <si>
    <t>Avg diff</t>
  </si>
  <si>
    <t>Moon - Altair near limb</t>
  </si>
  <si>
    <t>Altair</t>
  </si>
  <si>
    <t>HsAltair</t>
  </si>
  <si>
    <t>Moon Near Limb - Altair</t>
  </si>
  <si>
    <t>HappAltair</t>
  </si>
  <si>
    <t>Altair Refr</t>
  </si>
  <si>
    <t>HAltair</t>
  </si>
  <si>
    <t>This was a hurry. Fast moving clouds and some haze. The observations were very difficult. Jupiter was out of my view, Altair was selected instead.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</si>
</sst>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\°"/>
    <numFmt numFmtId="165" formatCode="0.0\'"/>
    <numFmt numFmtId="166" formatCode="0.0000"/>
    <numFmt numFmtId="167" formatCode="#,##0.00_ ;[Red]\-#,##0.00\ "/>
    <numFmt numFmtId="168" formatCode="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0" fillId="0" borderId="1" xfId="0" applyNumberFormat="1" applyBorder="1"/>
    <xf numFmtId="167" fontId="2" fillId="0" borderId="0" xfId="0" applyNumberFormat="1" applyFont="1"/>
    <xf numFmtId="0" fontId="2" fillId="0" borderId="0" xfId="0" applyFont="1"/>
    <xf numFmtId="0" fontId="4" fillId="2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21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0" fillId="2" borderId="0" xfId="0" applyFill="1"/>
    <xf numFmtId="164" fontId="0" fillId="0" borderId="0" xfId="0" applyNumberFormat="1" applyAlignment="1">
      <alignment horizontal="center"/>
    </xf>
    <xf numFmtId="14" fontId="0" fillId="0" borderId="0" xfId="0" applyNumberFormat="1"/>
    <xf numFmtId="164" fontId="2" fillId="0" borderId="2" xfId="0" applyNumberFormat="1" applyFont="1" applyBorder="1"/>
    <xf numFmtId="165" fontId="2" fillId="0" borderId="3" xfId="0" applyNumberFormat="1" applyFont="1" applyBorder="1"/>
    <xf numFmtId="21" fontId="2" fillId="0" borderId="0" xfId="0" applyNumberFormat="1" applyFont="1"/>
    <xf numFmtId="168" fontId="0" fillId="0" borderId="0" xfId="0" applyNumberFormat="1"/>
    <xf numFmtId="46" fontId="0" fillId="0" borderId="0" xfId="0" applyNumberFormat="1"/>
    <xf numFmtId="46" fontId="2" fillId="0" borderId="4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0" fontId="2" fillId="0" borderId="2" xfId="0" applyFont="1" applyBorder="1"/>
    <xf numFmtId="164" fontId="2" fillId="0" borderId="5" xfId="0" applyNumberFormat="1" applyFont="1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20" fontId="0" fillId="0" borderId="7" xfId="0" applyNumberFormat="1" applyBorder="1"/>
    <xf numFmtId="164" fontId="0" fillId="0" borderId="7" xfId="0" applyNumberFormat="1" applyBorder="1"/>
    <xf numFmtId="165" fontId="0" fillId="0" borderId="8" xfId="0" applyNumberFormat="1" applyBorder="1"/>
    <xf numFmtId="165" fontId="0" fillId="0" borderId="7" xfId="0" applyNumberFormat="1" applyBorder="1"/>
    <xf numFmtId="0" fontId="0" fillId="0" borderId="9" xfId="0" applyBorder="1"/>
    <xf numFmtId="0" fontId="0" fillId="0" borderId="10" xfId="0" applyBorder="1"/>
    <xf numFmtId="20" fontId="0" fillId="0" borderId="10" xfId="0" applyNumberFormat="1" applyBorder="1"/>
    <xf numFmtId="164" fontId="0" fillId="0" borderId="10" xfId="0" applyNumberFormat="1" applyBorder="1"/>
    <xf numFmtId="165" fontId="0" fillId="0" borderId="11" xfId="0" applyNumberFormat="1" applyBorder="1"/>
    <xf numFmtId="165" fontId="0" fillId="0" borderId="10" xfId="0" applyNumberFormat="1" applyBorder="1"/>
    <xf numFmtId="43" fontId="0" fillId="0" borderId="0" xfId="1" applyFont="1"/>
    <xf numFmtId="0" fontId="2" fillId="0" borderId="5" xfId="0" applyFont="1" applyBorder="1"/>
    <xf numFmtId="21" fontId="2" fillId="0" borderId="3" xfId="0" applyNumberFormat="1" applyFont="1" applyBorder="1"/>
    <xf numFmtId="4" fontId="2" fillId="0" borderId="0" xfId="0" applyNumberFormat="1" applyFont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6" fontId="0" fillId="0" borderId="13" xfId="0" applyNumberFormat="1" applyBorder="1"/>
    <xf numFmtId="167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165" fontId="0" fillId="0" borderId="18" xfId="0" applyNumberFormat="1" applyBorder="1"/>
    <xf numFmtId="166" fontId="0" fillId="0" borderId="18" xfId="0" applyNumberFormat="1" applyBorder="1"/>
    <xf numFmtId="167" fontId="0" fillId="0" borderId="18" xfId="0" applyNumberFormat="1" applyBorder="1"/>
    <xf numFmtId="0" fontId="0" fillId="0" borderId="19" xfId="0" applyBorder="1"/>
    <xf numFmtId="0" fontId="0" fillId="3" borderId="1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6" fontId="2" fillId="0" borderId="20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5" fontId="0" fillId="0" borderId="15" xfId="0" applyNumberFormat="1" applyBorder="1"/>
    <xf numFmtId="21" fontId="0" fillId="0" borderId="1" xfId="0" applyNumberFormat="1" applyBorder="1"/>
    <xf numFmtId="4" fontId="0" fillId="0" borderId="22" xfId="0" applyNumberFormat="1" applyBorder="1"/>
    <xf numFmtId="4" fontId="0" fillId="0" borderId="0" xfId="0" applyNumberFormat="1"/>
    <xf numFmtId="4" fontId="0" fillId="0" borderId="16" xfId="0" applyNumberFormat="1" applyBorder="1"/>
    <xf numFmtId="165" fontId="0" fillId="0" borderId="12" xfId="0" applyNumberFormat="1" applyBorder="1"/>
    <xf numFmtId="21" fontId="0" fillId="0" borderId="23" xfId="0" applyNumberFormat="1" applyBorder="1"/>
    <xf numFmtId="4" fontId="0" fillId="0" borderId="24" xfId="0" applyNumberFormat="1" applyBorder="1"/>
    <xf numFmtId="21" fontId="0" fillId="0" borderId="13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65" fontId="0" fillId="3" borderId="15" xfId="0" applyNumberFormat="1" applyFill="1" applyBorder="1"/>
    <xf numFmtId="21" fontId="0" fillId="3" borderId="1" xfId="0" applyNumberFormat="1" applyFill="1" applyBorder="1"/>
    <xf numFmtId="166" fontId="0" fillId="3" borderId="0" xfId="0" applyNumberFormat="1" applyFill="1"/>
    <xf numFmtId="4" fontId="0" fillId="3" borderId="22" xfId="0" applyNumberFormat="1" applyFill="1" applyBorder="1"/>
    <xf numFmtId="21" fontId="0" fillId="3" borderId="0" xfId="0" applyNumberFormat="1" applyFill="1"/>
    <xf numFmtId="4" fontId="0" fillId="3" borderId="0" xfId="0" applyNumberFormat="1" applyFill="1"/>
    <xf numFmtId="4" fontId="0" fillId="3" borderId="16" xfId="0" applyNumberFormat="1" applyFill="1" applyBorder="1"/>
    <xf numFmtId="165" fontId="0" fillId="0" borderId="17" xfId="0" applyNumberFormat="1" applyBorder="1"/>
    <xf numFmtId="21" fontId="0" fillId="0" borderId="25" xfId="0" applyNumberFormat="1" applyBorder="1"/>
    <xf numFmtId="4" fontId="0" fillId="0" borderId="26" xfId="0" applyNumberFormat="1" applyBorder="1"/>
    <xf numFmtId="21" fontId="0" fillId="0" borderId="18" xfId="0" applyNumberFormat="1" applyBorder="1"/>
    <xf numFmtId="4" fontId="0" fillId="0" borderId="18" xfId="0" applyNumberFormat="1" applyBorder="1"/>
    <xf numFmtId="4" fontId="0" fillId="0" borderId="1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1E17-C391-4C55-B1EF-109798E00B6E}">
  <dimension ref="A1:AI109"/>
  <sheetViews>
    <sheetView tabSelected="1" topLeftCell="A46" workbookViewId="0">
      <selection activeCell="P62" sqref="P62"/>
    </sheetView>
  </sheetViews>
  <sheetFormatPr defaultRowHeight="15" x14ac:dyDescent="0.25"/>
  <cols>
    <col min="1" max="1" width="10.140625" bestFit="1" customWidth="1"/>
    <col min="2" max="2" width="10.85546875" customWidth="1"/>
    <col min="3" max="3" width="10.7109375" bestFit="1" customWidth="1"/>
    <col min="4" max="4" width="4.7109375" style="8" customWidth="1"/>
    <col min="5" max="5" width="7.140625" style="9" bestFit="1" customWidth="1"/>
    <col min="6" max="6" width="9.85546875" style="4" customWidth="1"/>
    <col min="11" max="12" width="9" customWidth="1"/>
    <col min="13" max="13" width="8.28515625" style="12" customWidth="1"/>
    <col min="15" max="15" width="12.7109375" customWidth="1"/>
    <col min="16" max="16" width="4.28515625" customWidth="1"/>
    <col min="17" max="17" width="5" bestFit="1" customWidth="1"/>
    <col min="18" max="18" width="4.85546875" style="14" customWidth="1"/>
    <col min="19" max="19" width="10.7109375" customWidth="1"/>
    <col min="20" max="20" width="10.140625" customWidth="1"/>
    <col min="21" max="21" width="10.85546875" customWidth="1"/>
    <col min="22" max="22" width="5.5703125" customWidth="1"/>
    <col min="23" max="23" width="7" customWidth="1"/>
    <col min="24" max="24" width="9.85546875" style="4" customWidth="1"/>
    <col min="34" max="34" width="4.7109375" customWidth="1"/>
    <col min="35" max="35" width="5.140625" bestFit="1" customWidth="1"/>
  </cols>
  <sheetData>
    <row r="1" spans="1:35" s="1" customFormat="1" ht="21" x14ac:dyDescent="0.35">
      <c r="A1" s="1" t="s">
        <v>0</v>
      </c>
      <c r="D1" s="2"/>
      <c r="E1" s="3"/>
      <c r="F1" s="4"/>
      <c r="M1" s="5" t="s">
        <v>1</v>
      </c>
      <c r="N1" s="6" t="s">
        <v>2</v>
      </c>
      <c r="O1" s="6"/>
      <c r="R1" s="7"/>
      <c r="S1" s="1" t="s">
        <v>3</v>
      </c>
      <c r="V1" s="2"/>
      <c r="W1" s="3"/>
      <c r="X1" s="4"/>
      <c r="AE1" s="5" t="s">
        <v>1</v>
      </c>
      <c r="AF1" s="6" t="s">
        <v>2</v>
      </c>
    </row>
    <row r="2" spans="1:35" ht="15.75" thickBot="1" x14ac:dyDescent="0.3">
      <c r="D2" s="8" t="s">
        <v>4</v>
      </c>
      <c r="F2" s="4" t="s">
        <v>5</v>
      </c>
      <c r="G2" s="10" t="s">
        <v>6</v>
      </c>
      <c r="I2" t="s">
        <v>7</v>
      </c>
      <c r="J2" s="11">
        <v>0.73307870370370365</v>
      </c>
      <c r="K2" s="8">
        <v>17</v>
      </c>
      <c r="L2" s="9">
        <v>34</v>
      </c>
      <c r="M2" s="12">
        <f>(J2-$J$13)*24*60*60</f>
        <v>-306.00000000000944</v>
      </c>
      <c r="N2" s="13">
        <f>K2+L2/60</f>
        <v>17.566666666666666</v>
      </c>
      <c r="V2" s="15" t="s">
        <v>4</v>
      </c>
      <c r="W2" s="15"/>
      <c r="X2" s="4" t="s">
        <v>5</v>
      </c>
      <c r="Y2" s="10" t="s">
        <v>6</v>
      </c>
      <c r="AA2" t="s">
        <v>8</v>
      </c>
      <c r="AB2" s="11">
        <v>0.74503472222222233</v>
      </c>
      <c r="AC2" s="8">
        <v>24</v>
      </c>
      <c r="AD2" s="9">
        <v>24</v>
      </c>
      <c r="AE2" s="12">
        <f>(AB2-$AB$13)*24*60*60</f>
        <v>59.600000000016351</v>
      </c>
      <c r="AF2" s="13">
        <f>AC2+AD2/60</f>
        <v>24.4</v>
      </c>
    </row>
    <row r="3" spans="1:35" ht="15.75" thickBot="1" x14ac:dyDescent="0.3">
      <c r="A3" s="16">
        <v>44127</v>
      </c>
      <c r="C3" t="s">
        <v>9</v>
      </c>
      <c r="D3" s="8">
        <f>K13</f>
        <v>12</v>
      </c>
      <c r="E3" s="9">
        <f>L13</f>
        <v>54.060000000000095</v>
      </c>
      <c r="F3" s="4">
        <f t="shared" ref="F3:F5" si="0">D3+E3/60</f>
        <v>12.901000000000002</v>
      </c>
      <c r="J3" s="11">
        <v>0.73982638888888896</v>
      </c>
      <c r="K3" s="8">
        <v>16</v>
      </c>
      <c r="L3" s="9">
        <v>51</v>
      </c>
      <c r="M3" s="12">
        <f t="shared" ref="M3:M5" si="1">(J3-$J$13)*24*60*60</f>
        <v>277.00000000000171</v>
      </c>
      <c r="N3" s="13">
        <f t="shared" ref="N3:N5" si="2">K3+L3/60</f>
        <v>16.850000000000001</v>
      </c>
      <c r="O3">
        <f>(N3-N2)/(M3-M2)*(-M2)+N2</f>
        <v>17.190508862206972</v>
      </c>
      <c r="P3" s="17">
        <f>INT(O3)</f>
        <v>17</v>
      </c>
      <c r="Q3" s="18">
        <f>(O3-P3)*60</f>
        <v>11.430531732418316</v>
      </c>
      <c r="S3" s="16">
        <v>44127</v>
      </c>
      <c r="U3" t="s">
        <v>9</v>
      </c>
      <c r="V3" s="8">
        <f>AC13</f>
        <v>75</v>
      </c>
      <c r="W3" s="9">
        <f>AD13</f>
        <v>38.019999999999357</v>
      </c>
      <c r="X3" s="4">
        <f t="shared" ref="X3:X10" si="3">V3+W3/60</f>
        <v>75.633666666666656</v>
      </c>
      <c r="AB3" s="11">
        <v>0.74868055555555557</v>
      </c>
      <c r="AC3" s="8">
        <v>25</v>
      </c>
      <c r="AD3" s="9">
        <v>18</v>
      </c>
      <c r="AE3" s="12">
        <f t="shared" ref="AE3:AE5" si="4">(AB3-$AB$13)*24*60*60</f>
        <v>374.60000000000804</v>
      </c>
      <c r="AF3" s="13">
        <f t="shared" ref="AF3:AF5" si="5">AC3+AD3/60</f>
        <v>25.3</v>
      </c>
      <c r="AG3">
        <f>(AF3-AF2)/(AE3-AE2)*(-AE2)+AF2</f>
        <v>24.229714285714234</v>
      </c>
      <c r="AH3" s="17">
        <f>INT(AG3)</f>
        <v>24</v>
      </c>
      <c r="AI3" s="18">
        <f>(AG3-AH3)*60</f>
        <v>13.782857142854041</v>
      </c>
    </row>
    <row r="4" spans="1:35" ht="15.75" thickBot="1" x14ac:dyDescent="0.3">
      <c r="A4" s="11">
        <f>J13</f>
        <v>0.73662037037037043</v>
      </c>
      <c r="C4" t="s">
        <v>10</v>
      </c>
      <c r="D4" s="8">
        <f>P5</f>
        <v>18</v>
      </c>
      <c r="E4" s="9">
        <f>Q5</f>
        <v>41.802105263157969</v>
      </c>
      <c r="F4" s="4">
        <f t="shared" si="0"/>
        <v>18.696701754385966</v>
      </c>
      <c r="G4">
        <f t="shared" ref="G4" si="6">RADIANS(F4)</f>
        <v>0.32631900487743526</v>
      </c>
      <c r="I4" t="s">
        <v>11</v>
      </c>
      <c r="J4" s="11">
        <v>0.73364583333333344</v>
      </c>
      <c r="K4" s="8">
        <v>18</v>
      </c>
      <c r="L4" s="9">
        <v>51</v>
      </c>
      <c r="M4" s="12">
        <f t="shared" si="1"/>
        <v>-256.9999999999954</v>
      </c>
      <c r="N4" s="13">
        <f t="shared" si="2"/>
        <v>18.850000000000001</v>
      </c>
      <c r="S4" s="11">
        <f>AB13</f>
        <v>0.74434490740740733</v>
      </c>
      <c r="U4" t="s">
        <v>10</v>
      </c>
      <c r="V4" s="8">
        <f>AH5</f>
        <v>18</v>
      </c>
      <c r="W4" s="9">
        <f>AI5</f>
        <v>19.381818181818247</v>
      </c>
      <c r="X4" s="4">
        <f t="shared" si="3"/>
        <v>18.323030303030304</v>
      </c>
      <c r="Y4">
        <f t="shared" ref="Y4" si="7">RADIANS(X4)</f>
        <v>0.31979720773057313</v>
      </c>
      <c r="AA4" t="s">
        <v>11</v>
      </c>
      <c r="AB4" s="11">
        <v>0.74410879629629623</v>
      </c>
      <c r="AC4" s="8">
        <v>18</v>
      </c>
      <c r="AD4" s="9">
        <v>20</v>
      </c>
      <c r="AE4" s="12">
        <f t="shared" si="4"/>
        <v>-20.399999999999352</v>
      </c>
      <c r="AF4" s="13">
        <f t="shared" si="5"/>
        <v>18.333333333333332</v>
      </c>
    </row>
    <row r="5" spans="1:35" ht="15.75" thickBot="1" x14ac:dyDescent="0.3">
      <c r="C5" t="s">
        <v>12</v>
      </c>
      <c r="D5" s="8">
        <f>P3</f>
        <v>17</v>
      </c>
      <c r="E5" s="9">
        <f>Q3</f>
        <v>11.430531732418316</v>
      </c>
      <c r="F5" s="4">
        <f t="shared" si="0"/>
        <v>17.190508862206972</v>
      </c>
      <c r="J5" s="11">
        <v>0.73914351851851856</v>
      </c>
      <c r="K5" s="8">
        <v>18</v>
      </c>
      <c r="L5" s="9">
        <v>34</v>
      </c>
      <c r="M5" s="12">
        <f t="shared" si="1"/>
        <v>217.99999999999892</v>
      </c>
      <c r="N5" s="13">
        <f t="shared" si="2"/>
        <v>18.566666666666666</v>
      </c>
      <c r="O5">
        <f>(N5-N4)/(M5-M4)*(-M4)+N4</f>
        <v>18.696701754385966</v>
      </c>
      <c r="P5" s="17">
        <f>INT(O5)</f>
        <v>18</v>
      </c>
      <c r="Q5" s="18">
        <f>(O5-P5)*60</f>
        <v>41.802105263157969</v>
      </c>
      <c r="U5" t="s">
        <v>13</v>
      </c>
      <c r="V5" s="8">
        <f>AH3</f>
        <v>24</v>
      </c>
      <c r="W5" s="9">
        <f>AI3</f>
        <v>13.782857142854041</v>
      </c>
      <c r="X5" s="4">
        <f t="shared" si="3"/>
        <v>24.229714285714234</v>
      </c>
      <c r="AB5" s="11">
        <v>0.74945601851851851</v>
      </c>
      <c r="AC5" s="8">
        <v>18</v>
      </c>
      <c r="AD5" s="9">
        <v>6</v>
      </c>
      <c r="AE5" s="12">
        <f t="shared" si="4"/>
        <v>441.60000000000571</v>
      </c>
      <c r="AF5" s="13">
        <f t="shared" si="5"/>
        <v>18.100000000000001</v>
      </c>
      <c r="AG5">
        <f>(AF5-AF4)/(AE5-AE4)*(-AE4)+AF4</f>
        <v>18.323030303030304</v>
      </c>
      <c r="AH5" s="17">
        <f>INT(AG5)</f>
        <v>18</v>
      </c>
      <c r="AI5" s="18">
        <f>(AG5-AH5)*60</f>
        <v>19.381818181818247</v>
      </c>
    </row>
    <row r="6" spans="1:35" x14ac:dyDescent="0.25">
      <c r="I6" s="19" t="s">
        <v>14</v>
      </c>
      <c r="V6" s="8"/>
      <c r="W6" s="9"/>
      <c r="AA6" s="19" t="s">
        <v>15</v>
      </c>
      <c r="AE6" s="12"/>
    </row>
    <row r="7" spans="1:35" x14ac:dyDescent="0.25">
      <c r="C7" t="s">
        <v>16</v>
      </c>
      <c r="E7" s="9">
        <v>-0.1</v>
      </c>
      <c r="F7" s="4">
        <f t="shared" ref="F7:F8" si="8">D7+E7/60</f>
        <v>-1.6666666666666668E-3</v>
      </c>
      <c r="J7" s="11">
        <v>0.73473379629629632</v>
      </c>
      <c r="K7" s="8">
        <v>12</v>
      </c>
      <c r="L7" s="9">
        <v>53.4</v>
      </c>
      <c r="N7" s="13">
        <f>K7+L7/60</f>
        <v>12.89</v>
      </c>
      <c r="O7" s="20"/>
      <c r="U7" t="s">
        <v>16</v>
      </c>
      <c r="V7" s="8"/>
      <c r="W7" s="9">
        <f>E7</f>
        <v>-0.1</v>
      </c>
      <c r="X7" s="4">
        <f t="shared" si="3"/>
        <v>-1.6666666666666668E-3</v>
      </c>
      <c r="AB7" s="11">
        <v>0.74148148148148152</v>
      </c>
      <c r="AC7" s="8">
        <v>75</v>
      </c>
      <c r="AD7" s="9">
        <v>39.9</v>
      </c>
      <c r="AE7" s="12"/>
      <c r="AF7" s="13">
        <f>AC7+AD7/60</f>
        <v>75.665000000000006</v>
      </c>
      <c r="AG7" s="20"/>
    </row>
    <row r="8" spans="1:35" x14ac:dyDescent="0.25">
      <c r="C8" t="s">
        <v>17</v>
      </c>
      <c r="E8" s="9">
        <v>2.2999999999999998</v>
      </c>
      <c r="F8" s="4">
        <f t="shared" si="8"/>
        <v>3.833333333333333E-2</v>
      </c>
      <c r="J8" s="21">
        <v>0.73581018518518526</v>
      </c>
      <c r="K8" s="8">
        <v>12</v>
      </c>
      <c r="L8" s="9">
        <v>53.7</v>
      </c>
      <c r="N8" s="13">
        <f t="shared" ref="N8:N11" si="9">K8+L8/60</f>
        <v>12.895</v>
      </c>
      <c r="O8" s="20"/>
      <c r="U8" t="s">
        <v>17</v>
      </c>
      <c r="V8" s="8"/>
      <c r="W8" s="9">
        <v>2.2999999999999998</v>
      </c>
      <c r="X8" s="4">
        <f t="shared" si="3"/>
        <v>3.833333333333333E-2</v>
      </c>
      <c r="AB8" s="21">
        <v>0.74245370370370367</v>
      </c>
      <c r="AC8" s="8">
        <v>75</v>
      </c>
      <c r="AD8" s="9">
        <v>39</v>
      </c>
      <c r="AE8" s="12"/>
      <c r="AF8" s="13">
        <f t="shared" ref="AF8:AF11" si="10">AC8+AD8/60</f>
        <v>75.650000000000006</v>
      </c>
      <c r="AG8" s="20"/>
    </row>
    <row r="9" spans="1:35" x14ac:dyDescent="0.25">
      <c r="J9" s="21">
        <v>0.73664351851851861</v>
      </c>
      <c r="K9" s="8">
        <v>12</v>
      </c>
      <c r="L9" s="9">
        <v>53.9</v>
      </c>
      <c r="N9" s="13">
        <f t="shared" si="9"/>
        <v>12.898333333333333</v>
      </c>
      <c r="O9" s="20"/>
      <c r="V9" s="8"/>
      <c r="W9" s="9"/>
      <c r="AB9" s="21">
        <v>0.74327546296296287</v>
      </c>
      <c r="AC9" s="8">
        <v>75</v>
      </c>
      <c r="AD9" s="9">
        <v>38.6</v>
      </c>
      <c r="AE9" s="12"/>
      <c r="AF9" s="13">
        <f t="shared" si="10"/>
        <v>75.643333333333331</v>
      </c>
      <c r="AG9" s="20"/>
    </row>
    <row r="10" spans="1:35" x14ac:dyDescent="0.25">
      <c r="A10" t="s">
        <v>18</v>
      </c>
      <c r="E10" s="9">
        <f>3400/60</f>
        <v>56.666666666666664</v>
      </c>
      <c r="F10" s="4">
        <f t="shared" ref="F10" si="11">D10+E10/60</f>
        <v>0.94444444444444442</v>
      </c>
      <c r="J10" s="11">
        <v>0.73753472222222216</v>
      </c>
      <c r="K10" s="8">
        <v>12</v>
      </c>
      <c r="L10" s="9">
        <v>54.3</v>
      </c>
      <c r="N10" s="13">
        <f t="shared" si="9"/>
        <v>12.904999999999999</v>
      </c>
      <c r="O10" s="20"/>
      <c r="S10" t="s">
        <v>18</v>
      </c>
      <c r="V10" s="8"/>
      <c r="W10" s="9">
        <f>3400/60</f>
        <v>56.666666666666664</v>
      </c>
      <c r="X10" s="4">
        <f t="shared" si="3"/>
        <v>0.94444444444444442</v>
      </c>
      <c r="AB10" s="11">
        <v>0.74674768518518519</v>
      </c>
      <c r="AC10" s="8">
        <v>75</v>
      </c>
      <c r="AD10" s="9">
        <v>36.700000000000003</v>
      </c>
      <c r="AE10" s="12"/>
      <c r="AF10" s="13">
        <f t="shared" si="10"/>
        <v>75.611666666666665</v>
      </c>
      <c r="AG10" s="20"/>
    </row>
    <row r="11" spans="1:35" x14ac:dyDescent="0.25">
      <c r="J11" s="11">
        <v>0.73837962962962955</v>
      </c>
      <c r="K11" s="8">
        <v>12</v>
      </c>
      <c r="L11" s="9">
        <v>55</v>
      </c>
      <c r="N11" s="13">
        <f t="shared" si="9"/>
        <v>12.916666666666666</v>
      </c>
      <c r="O11" s="20"/>
      <c r="V11" s="8"/>
      <c r="W11" s="9"/>
      <c r="AB11" s="11">
        <v>0.74776620370370372</v>
      </c>
      <c r="AC11" s="8">
        <v>75</v>
      </c>
      <c r="AD11" s="9">
        <v>35.9</v>
      </c>
      <c r="AE11" s="12"/>
      <c r="AF11" s="13">
        <f t="shared" si="10"/>
        <v>75.598333333333329</v>
      </c>
      <c r="AG11" s="20"/>
    </row>
    <row r="12" spans="1:35" ht="15.75" thickBot="1" x14ac:dyDescent="0.3">
      <c r="A12" t="s">
        <v>19</v>
      </c>
      <c r="E12" s="9">
        <f>E10*0.2724</f>
        <v>15.435999999999998</v>
      </c>
      <c r="I12" t="s">
        <v>20</v>
      </c>
      <c r="J12" s="11"/>
      <c r="K12" s="8"/>
      <c r="L12" s="9"/>
      <c r="S12" t="s">
        <v>19</v>
      </c>
      <c r="V12" s="8"/>
      <c r="W12" s="9">
        <f>W10*0.2724</f>
        <v>15.435999999999998</v>
      </c>
      <c r="AA12" t="s">
        <v>20</v>
      </c>
      <c r="AB12" s="11"/>
      <c r="AC12" s="8"/>
      <c r="AD12" s="9"/>
      <c r="AE12" s="12"/>
    </row>
    <row r="13" spans="1:35" ht="15.75" thickBot="1" x14ac:dyDescent="0.3">
      <c r="A13" t="s">
        <v>21</v>
      </c>
      <c r="E13" s="9">
        <f>0.3*SIN(RADIANS(D4+E4/60))</f>
        <v>9.6167539098692051E-2</v>
      </c>
      <c r="J13" s="22">
        <f>AVERAGE(J7:J11)</f>
        <v>0.73662037037037043</v>
      </c>
      <c r="K13" s="17">
        <f>INT(N13)</f>
        <v>12</v>
      </c>
      <c r="L13" s="18">
        <f>(N13-K13)*60</f>
        <v>54.060000000000095</v>
      </c>
      <c r="N13" s="13">
        <f>AVERAGE(N7:N11)</f>
        <v>12.901000000000002</v>
      </c>
      <c r="S13" t="s">
        <v>21</v>
      </c>
      <c r="V13" s="8"/>
      <c r="W13" s="9">
        <f>0.3*SIN(Y4)</f>
        <v>9.4312216963366641E-2</v>
      </c>
      <c r="AB13" s="22">
        <f>AVERAGE(AB7:AB11)</f>
        <v>0.74434490740740733</v>
      </c>
      <c r="AC13" s="17">
        <f>INT(AF13)</f>
        <v>75</v>
      </c>
      <c r="AD13" s="18">
        <f>(AF13-AC13)*60</f>
        <v>38.019999999999357</v>
      </c>
      <c r="AE13" s="12"/>
      <c r="AF13" s="13">
        <f>AVERAGE(AF7:AF11)</f>
        <v>75.633666666666656</v>
      </c>
    </row>
    <row r="14" spans="1:35" x14ac:dyDescent="0.25">
      <c r="A14" t="s">
        <v>22</v>
      </c>
      <c r="E14" s="9">
        <f>SUM(E12:E13)</f>
        <v>15.53216753909869</v>
      </c>
      <c r="F14" s="4">
        <f>D14+E14/60</f>
        <v>0.25886945898497815</v>
      </c>
      <c r="J14" s="11"/>
      <c r="K14" s="8"/>
      <c r="L14" s="9"/>
      <c r="S14" t="s">
        <v>22</v>
      </c>
      <c r="V14" s="8"/>
      <c r="W14" s="9">
        <f>SUM(W12:W13)</f>
        <v>15.530312216963365</v>
      </c>
      <c r="X14" s="4">
        <f>V14+W14/60</f>
        <v>0.25883853694938941</v>
      </c>
      <c r="AB14" s="11"/>
      <c r="AC14" s="8"/>
      <c r="AD14" s="9"/>
      <c r="AE14" s="12"/>
    </row>
    <row r="15" spans="1:35" x14ac:dyDescent="0.25">
      <c r="J15" s="11"/>
      <c r="K15" s="8"/>
      <c r="L15" s="9"/>
      <c r="V15" s="8"/>
      <c r="W15" s="9"/>
      <c r="AB15" s="11"/>
      <c r="AC15" s="8"/>
      <c r="AD15" s="9"/>
      <c r="AE15" s="12"/>
    </row>
    <row r="16" spans="1:35" x14ac:dyDescent="0.25">
      <c r="A16" t="s">
        <v>23</v>
      </c>
      <c r="C16" s="6"/>
      <c r="D16" s="23">
        <f>INT(F16)</f>
        <v>13</v>
      </c>
      <c r="E16" s="24">
        <f>(F16-D16)*60</f>
        <v>9.6921675390988327</v>
      </c>
      <c r="F16" s="4">
        <f>F3-F7+F14</f>
        <v>13.161536125651647</v>
      </c>
      <c r="G16">
        <f t="shared" ref="G16:G19" si="12">RADIANS(F16)</f>
        <v>0.22971214001279935</v>
      </c>
      <c r="J16" s="11">
        <f>J13-$M$50</f>
        <v>0.73528935185185196</v>
      </c>
      <c r="K16" s="8" t="s">
        <v>24</v>
      </c>
      <c r="L16" s="9"/>
      <c r="S16" t="s">
        <v>25</v>
      </c>
      <c r="U16" s="6"/>
      <c r="V16" s="23">
        <f>INT(X16)</f>
        <v>75</v>
      </c>
      <c r="W16" s="24">
        <f>(X16-V16)*60</f>
        <v>22.589687783036254</v>
      </c>
      <c r="X16" s="4">
        <f>X3-X7-X14</f>
        <v>75.376494796383938</v>
      </c>
      <c r="Y16">
        <f t="shared" ref="Y16:Y19" si="13">RADIANS(X16)</f>
        <v>1.3155680128092726</v>
      </c>
      <c r="AB16" s="11">
        <f>AB13-$M$50</f>
        <v>0.74301388888888886</v>
      </c>
      <c r="AC16" s="8" t="s">
        <v>24</v>
      </c>
      <c r="AD16" s="9"/>
      <c r="AE16" s="12"/>
    </row>
    <row r="17" spans="2:31" x14ac:dyDescent="0.25">
      <c r="V17" s="8"/>
      <c r="W17" s="9"/>
      <c r="AE17" s="12"/>
    </row>
    <row r="18" spans="2:31" x14ac:dyDescent="0.25">
      <c r="C18" s="6" t="s">
        <v>26</v>
      </c>
      <c r="D18" s="23">
        <f>D4</f>
        <v>18</v>
      </c>
      <c r="E18" s="24">
        <f>E4-E8</f>
        <v>39.502105263157972</v>
      </c>
      <c r="F18" s="4">
        <f>F4-F8</f>
        <v>18.658368421052632</v>
      </c>
      <c r="G18">
        <f t="shared" si="12"/>
        <v>0.32564996199750412</v>
      </c>
      <c r="U18" s="6" t="s">
        <v>26</v>
      </c>
      <c r="V18" s="23">
        <f>V4</f>
        <v>18</v>
      </c>
      <c r="W18" s="24">
        <f>W4-W8</f>
        <v>17.081818181818246</v>
      </c>
      <c r="X18" s="4">
        <f>X4-X8</f>
        <v>18.28469696969697</v>
      </c>
      <c r="Y18">
        <f t="shared" si="13"/>
        <v>0.31912816485064199</v>
      </c>
      <c r="AE18" s="12"/>
    </row>
    <row r="19" spans="2:31" x14ac:dyDescent="0.25">
      <c r="C19" s="6" t="s">
        <v>27</v>
      </c>
      <c r="D19" s="23">
        <f>INT(F19)</f>
        <v>17</v>
      </c>
      <c r="E19" s="24">
        <f>(F19-D19)*60</f>
        <v>9.1305317324182766</v>
      </c>
      <c r="F19" s="4">
        <f>F5-F8</f>
        <v>17.152175528873638</v>
      </c>
      <c r="G19">
        <f t="shared" si="12"/>
        <v>0.29936193685884471</v>
      </c>
      <c r="U19" s="6" t="s">
        <v>28</v>
      </c>
      <c r="V19" s="23">
        <f>INT(X19)</f>
        <v>24</v>
      </c>
      <c r="W19" s="24">
        <f>(X19-V19)*60</f>
        <v>11.482857142854002</v>
      </c>
      <c r="X19" s="4">
        <f>X5-X8</f>
        <v>24.1913809523809</v>
      </c>
      <c r="Y19">
        <f t="shared" si="13"/>
        <v>0.42221924822328827</v>
      </c>
      <c r="AE19" s="12"/>
    </row>
    <row r="20" spans="2:31" x14ac:dyDescent="0.25">
      <c r="V20" s="8"/>
      <c r="W20" s="9"/>
      <c r="AE20" s="12"/>
    </row>
    <row r="21" spans="2:31" x14ac:dyDescent="0.25">
      <c r="E21" s="9">
        <v>62.6</v>
      </c>
      <c r="V21" s="8"/>
      <c r="W21" s="9">
        <v>62.6</v>
      </c>
      <c r="AE21" s="12"/>
    </row>
    <row r="22" spans="2:31" x14ac:dyDescent="0.25">
      <c r="E22" s="9">
        <f>(3.8+2.9)/2-15</f>
        <v>-11.65</v>
      </c>
      <c r="V22" s="8"/>
      <c r="W22" s="9">
        <f>(3.8+2.9)/2-15</f>
        <v>-11.65</v>
      </c>
      <c r="AE22" s="12"/>
    </row>
    <row r="23" spans="2:31" x14ac:dyDescent="0.25">
      <c r="C23" t="s">
        <v>29</v>
      </c>
      <c r="E23" s="9">
        <f>SUM(E21:E22)</f>
        <v>50.95</v>
      </c>
      <c r="F23" s="4">
        <f t="shared" ref="F23" si="14">D23+E23/60</f>
        <v>0.84916666666666674</v>
      </c>
      <c r="U23" t="s">
        <v>29</v>
      </c>
      <c r="V23" s="8"/>
      <c r="W23" s="9">
        <f>SUM(W21:W22)</f>
        <v>50.95</v>
      </c>
      <c r="X23" s="4">
        <f t="shared" ref="X23" si="15">V23+W23/60</f>
        <v>0.84916666666666674</v>
      </c>
      <c r="AE23" s="12"/>
    </row>
    <row r="24" spans="2:31" x14ac:dyDescent="0.25">
      <c r="C24" s="6" t="s">
        <v>30</v>
      </c>
      <c r="D24" s="23">
        <f>INT(F24)</f>
        <v>19</v>
      </c>
      <c r="E24" s="24">
        <f>(F24-D24)*60</f>
        <v>30.452105263157847</v>
      </c>
      <c r="F24" s="4">
        <f>F18+F23</f>
        <v>19.507535087719297</v>
      </c>
      <c r="G24">
        <f t="shared" ref="G24" si="16">RADIANS(F24)</f>
        <v>0.34047071622902259</v>
      </c>
      <c r="U24" s="6" t="s">
        <v>30</v>
      </c>
      <c r="V24" s="23">
        <f>INT(X24)</f>
        <v>19</v>
      </c>
      <c r="W24" s="24">
        <f>(X24-V24)*60</f>
        <v>8.0318181818181245</v>
      </c>
      <c r="X24" s="4">
        <f>X18+X23</f>
        <v>19.133863636363635</v>
      </c>
      <c r="Y24">
        <f t="shared" ref="Y24" si="17">RADIANS(X24)</f>
        <v>0.33394891908216046</v>
      </c>
      <c r="AE24" s="12"/>
    </row>
    <row r="25" spans="2:31" x14ac:dyDescent="0.25">
      <c r="V25" s="8"/>
      <c r="W25" s="9"/>
      <c r="AE25" s="12"/>
    </row>
    <row r="26" spans="2:31" x14ac:dyDescent="0.25">
      <c r="C26" t="s">
        <v>31</v>
      </c>
      <c r="E26" s="9">
        <v>-3.1</v>
      </c>
      <c r="F26" s="4">
        <f t="shared" ref="F26" si="18">D26+E26/60</f>
        <v>-5.1666666666666666E-2</v>
      </c>
      <c r="U26" t="s">
        <v>32</v>
      </c>
      <c r="V26" s="8"/>
      <c r="W26" s="9">
        <v>-2.1</v>
      </c>
      <c r="X26" s="4">
        <f t="shared" ref="X26" si="19">V26+W26/60</f>
        <v>-3.5000000000000003E-2</v>
      </c>
      <c r="AE26" s="12"/>
    </row>
    <row r="27" spans="2:31" x14ac:dyDescent="0.25">
      <c r="C27" s="6" t="s">
        <v>33</v>
      </c>
      <c r="D27" s="23">
        <f>INT(F27)</f>
        <v>17</v>
      </c>
      <c r="E27" s="24">
        <f>(F27-D27)*60</f>
        <v>6.030531732418325</v>
      </c>
      <c r="F27" s="4">
        <f>F19+F26</f>
        <v>17.100508862206972</v>
      </c>
      <c r="G27">
        <f t="shared" ref="G27" si="20">RADIANS(F27)</f>
        <v>0.29846018341198099</v>
      </c>
      <c r="U27" s="6" t="s">
        <v>34</v>
      </c>
      <c r="V27" s="23">
        <f>INT(X27)</f>
        <v>24</v>
      </c>
      <c r="W27" s="24">
        <f>(X27-V27)*60</f>
        <v>9.3828571428539931</v>
      </c>
      <c r="X27" s="4">
        <f>X19+X26</f>
        <v>24.1563809523809</v>
      </c>
      <c r="Y27">
        <f t="shared" ref="Y27" si="21">RADIANS(X27)</f>
        <v>0.42160838298509024</v>
      </c>
      <c r="AE27" s="12"/>
    </row>
    <row r="28" spans="2:31" x14ac:dyDescent="0.25">
      <c r="V28" s="8"/>
      <c r="W28" s="9"/>
      <c r="AE28" s="12"/>
    </row>
    <row r="29" spans="2:31" x14ac:dyDescent="0.25">
      <c r="B29" t="s">
        <v>35</v>
      </c>
      <c r="C29" t="s">
        <v>36</v>
      </c>
      <c r="G29">
        <f>COS(G24)*COS(G27)/COS(G18)/COS(G19)</f>
        <v>0.99516229584763394</v>
      </c>
      <c r="T29" t="s">
        <v>35</v>
      </c>
      <c r="U29" t="s">
        <v>36</v>
      </c>
      <c r="V29" s="8"/>
      <c r="W29" s="9"/>
      <c r="Y29">
        <f>COS(Y24)*COS(Y27)/COS(Y18)/COS(Y19)</f>
        <v>0.99526611274172883</v>
      </c>
      <c r="AE29" s="12"/>
    </row>
    <row r="30" spans="2:31" x14ac:dyDescent="0.25">
      <c r="C30" t="s">
        <v>37</v>
      </c>
      <c r="G30">
        <f>COS(G16)+COS(G18+G19)</f>
        <v>1.7846881377302433</v>
      </c>
      <c r="U30" t="s">
        <v>37</v>
      </c>
      <c r="V30" s="8"/>
      <c r="W30" s="9"/>
      <c r="Y30">
        <f>COS(Y16)+COS(Y18+Y19)</f>
        <v>0.99002567742573411</v>
      </c>
      <c r="AE30" s="12"/>
    </row>
    <row r="31" spans="2:31" x14ac:dyDescent="0.25">
      <c r="C31" t="s">
        <v>38</v>
      </c>
      <c r="G31">
        <f>COS(G24+G27)</f>
        <v>0.80273376123553242</v>
      </c>
      <c r="U31" t="s">
        <v>38</v>
      </c>
      <c r="V31" s="8"/>
      <c r="W31" s="9"/>
      <c r="Y31">
        <f>COS(Y24+Y27)</f>
        <v>0.7278895173154285</v>
      </c>
      <c r="AE31" s="12"/>
    </row>
    <row r="32" spans="2:31" ht="15.75" thickBot="1" x14ac:dyDescent="0.3">
      <c r="V32" s="8"/>
      <c r="W32" s="9"/>
      <c r="AE32" s="12"/>
    </row>
    <row r="33" spans="1:31" ht="15.75" thickBot="1" x14ac:dyDescent="0.3">
      <c r="C33" s="25" t="s">
        <v>39</v>
      </c>
      <c r="D33" s="26">
        <f>INT(F33)</f>
        <v>13</v>
      </c>
      <c r="E33" s="18">
        <f>(F33-D33)*60</f>
        <v>15.879583508648523</v>
      </c>
      <c r="F33" s="13">
        <f>DEGREES(G33)</f>
        <v>13.264659725144142</v>
      </c>
      <c r="G33" s="27">
        <f>ACOS(G29*G30-G31)</f>
        <v>0.23151198636045134</v>
      </c>
      <c r="U33" s="25" t="s">
        <v>39</v>
      </c>
      <c r="V33" s="26">
        <f>INT(X33)</f>
        <v>75</v>
      </c>
      <c r="W33" s="18">
        <f>(X33-V33)*60</f>
        <v>4.8733458348561953</v>
      </c>
      <c r="X33" s="13">
        <f>DEGREES(Y33)</f>
        <v>75.081222430580937</v>
      </c>
      <c r="Y33" s="27">
        <f>ACOS(Y29*Y30-Y31)</f>
        <v>1.3104145378358569</v>
      </c>
      <c r="AE33" s="12"/>
    </row>
    <row r="34" spans="1:31" x14ac:dyDescent="0.25">
      <c r="C34" s="6"/>
      <c r="D34" s="23"/>
      <c r="E34" s="24"/>
      <c r="G34" s="27"/>
      <c r="U34" s="6"/>
      <c r="V34" s="23"/>
      <c r="W34" s="24"/>
      <c r="Y34" s="27"/>
      <c r="AE34" s="12"/>
    </row>
    <row r="35" spans="1:31" x14ac:dyDescent="0.25">
      <c r="V35" s="8"/>
      <c r="W35" s="9"/>
      <c r="AE35" s="12"/>
    </row>
    <row r="36" spans="1:31" x14ac:dyDescent="0.25">
      <c r="A36" s="28" t="s">
        <v>40</v>
      </c>
      <c r="B36" s="29"/>
      <c r="C36" s="30">
        <v>0.70833333333333337</v>
      </c>
      <c r="D36" s="31">
        <v>12</v>
      </c>
      <c r="E36" s="32">
        <v>55.2</v>
      </c>
      <c r="F36" s="4">
        <f>D36+E36/60</f>
        <v>12.92</v>
      </c>
      <c r="S36" s="28" t="s">
        <v>40</v>
      </c>
      <c r="T36" s="29"/>
      <c r="U36" s="30">
        <v>0.70833333333333337</v>
      </c>
      <c r="V36" s="31">
        <v>75</v>
      </c>
      <c r="W36" s="33">
        <v>32</v>
      </c>
      <c r="X36" s="4">
        <f>V36+W36/60</f>
        <v>75.533333333333331</v>
      </c>
      <c r="AE36" s="12"/>
    </row>
    <row r="37" spans="1:31" x14ac:dyDescent="0.25">
      <c r="A37" s="34"/>
      <c r="B37" s="35"/>
      <c r="C37" s="36">
        <v>0.75</v>
      </c>
      <c r="D37" s="37">
        <v>13</v>
      </c>
      <c r="E37" s="38">
        <v>26.8</v>
      </c>
      <c r="F37" s="4">
        <f>D37+E37/60</f>
        <v>13.446666666666667</v>
      </c>
      <c r="S37" s="34"/>
      <c r="T37" s="35"/>
      <c r="U37" s="36">
        <v>0.75</v>
      </c>
      <c r="V37" s="37">
        <v>74</v>
      </c>
      <c r="W37" s="39">
        <v>59.1</v>
      </c>
      <c r="X37" s="4">
        <f>V37+W37/60</f>
        <v>74.984999999999999</v>
      </c>
      <c r="AE37" s="12"/>
    </row>
    <row r="38" spans="1:31" x14ac:dyDescent="0.25">
      <c r="C38" t="s">
        <v>41</v>
      </c>
      <c r="E38" s="9">
        <f>F38*60</f>
        <v>31.600000000000037</v>
      </c>
      <c r="F38" s="4">
        <f>F37-F36</f>
        <v>0.52666666666666728</v>
      </c>
      <c r="U38" t="s">
        <v>41</v>
      </c>
      <c r="V38" s="8"/>
      <c r="W38" s="9">
        <f>X38*60</f>
        <v>-32.89999999999992</v>
      </c>
      <c r="X38" s="4">
        <f>X37-X36</f>
        <v>-0.54833333333333201</v>
      </c>
      <c r="AE38" s="12"/>
    </row>
    <row r="39" spans="1:31" x14ac:dyDescent="0.25">
      <c r="C39" t="s">
        <v>42</v>
      </c>
      <c r="E39" s="9">
        <f>F39*60</f>
        <v>20.679583508648527</v>
      </c>
      <c r="F39" s="4">
        <f>F33-F36</f>
        <v>0.34465972514414212</v>
      </c>
      <c r="U39" t="s">
        <v>42</v>
      </c>
      <c r="V39" s="8"/>
      <c r="W39" s="9">
        <f>X39*60</f>
        <v>-27.126654165143691</v>
      </c>
      <c r="X39" s="4">
        <f>X33-X36</f>
        <v>-0.45211090275239485</v>
      </c>
      <c r="AE39" s="12"/>
    </row>
    <row r="40" spans="1:31" x14ac:dyDescent="0.25">
      <c r="V40" s="8"/>
      <c r="W40" s="9"/>
      <c r="AE40" s="12"/>
    </row>
    <row r="41" spans="1:31" x14ac:dyDescent="0.25">
      <c r="C41" t="s">
        <v>43</v>
      </c>
      <c r="E41" s="40">
        <f>E39/E38*60</f>
        <v>39.265031978446522</v>
      </c>
      <c r="G41" t="s">
        <v>44</v>
      </c>
      <c r="U41" t="s">
        <v>43</v>
      </c>
      <c r="V41" s="8"/>
      <c r="W41" s="40">
        <f>W39/W38*60</f>
        <v>49.471101820930862</v>
      </c>
      <c r="Y41" t="s">
        <v>44</v>
      </c>
      <c r="AE41" s="12"/>
    </row>
    <row r="42" spans="1:31" ht="15.75" thickBot="1" x14ac:dyDescent="0.3">
      <c r="V42" s="8"/>
      <c r="W42" s="9"/>
      <c r="AE42" s="12"/>
    </row>
    <row r="43" spans="1:31" ht="15.75" thickBot="1" x14ac:dyDescent="0.3">
      <c r="A43" s="25" t="s">
        <v>45</v>
      </c>
      <c r="B43" s="41"/>
      <c r="C43" s="42">
        <f>C36+E41/60/24</f>
        <v>0.73560071665169902</v>
      </c>
      <c r="S43" s="25" t="s">
        <v>45</v>
      </c>
      <c r="T43" s="41"/>
      <c r="U43" s="42">
        <f>U36+W41/60/24</f>
        <v>0.74268826515342423</v>
      </c>
      <c r="V43" s="8"/>
      <c r="W43" s="9"/>
      <c r="AE43" s="12"/>
    </row>
    <row r="44" spans="1:31" x14ac:dyDescent="0.25">
      <c r="C44" s="19"/>
      <c r="U44" s="19"/>
      <c r="V44" s="8"/>
      <c r="W44" s="9"/>
      <c r="AE44" s="12"/>
    </row>
    <row r="45" spans="1:31" x14ac:dyDescent="0.25">
      <c r="A45" s="6" t="s">
        <v>46</v>
      </c>
      <c r="B45" s="6"/>
      <c r="C45" s="19">
        <f>ABS(J13-C43)</f>
        <v>1.0196537186714094E-3</v>
      </c>
      <c r="D45" s="8" t="str">
        <f>IF(J13&gt;C43,"fast","slow")</f>
        <v>fast</v>
      </c>
      <c r="S45" s="6" t="s">
        <v>46</v>
      </c>
      <c r="T45" s="6"/>
      <c r="U45" s="19">
        <f>ABS(AB13-U43)</f>
        <v>1.6566422539830983E-3</v>
      </c>
      <c r="V45" s="8" t="str">
        <f>IF(AB13&gt;U43,"fast","slow")</f>
        <v>fast</v>
      </c>
      <c r="W45" s="9"/>
      <c r="AE45" s="12"/>
    </row>
    <row r="46" spans="1:31" x14ac:dyDescent="0.25">
      <c r="A46" s="6" t="s">
        <v>47</v>
      </c>
      <c r="B46" s="6"/>
      <c r="C46" s="43">
        <f>(C45-$M$50)*60*60*24</f>
        <v>-26.901918706790223</v>
      </c>
      <c r="D46" s="8" t="s">
        <v>48</v>
      </c>
      <c r="S46" s="6" t="s">
        <v>47</v>
      </c>
      <c r="T46" s="6"/>
      <c r="U46" s="43">
        <f>(U45-$M$50)*60*60*24</f>
        <v>28.133890744139695</v>
      </c>
      <c r="V46" s="8" t="s">
        <v>48</v>
      </c>
      <c r="W46" s="9"/>
      <c r="AE46" s="12"/>
    </row>
    <row r="47" spans="1:31" ht="15.75" thickBot="1" x14ac:dyDescent="0.3"/>
    <row r="48" spans="1:31" x14ac:dyDescent="0.25">
      <c r="A48" s="44"/>
      <c r="B48" s="45"/>
      <c r="C48" s="45"/>
      <c r="D48" s="46"/>
      <c r="E48" s="47"/>
      <c r="F48" s="48"/>
      <c r="G48" s="45"/>
      <c r="H48" s="45"/>
      <c r="I48" s="45"/>
      <c r="J48" s="45"/>
      <c r="K48" s="45"/>
      <c r="L48" s="45"/>
      <c r="M48" s="49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8"/>
      <c r="Y48" s="50"/>
    </row>
    <row r="49" spans="1:27" x14ac:dyDescent="0.25">
      <c r="A49" s="51"/>
      <c r="F49" s="13"/>
      <c r="H49" t="s">
        <v>49</v>
      </c>
      <c r="M49" s="19">
        <f>AVERAGE(C45,U45)</f>
        <v>1.3381479863272538E-3</v>
      </c>
      <c r="N49" t="s">
        <v>50</v>
      </c>
      <c r="R49"/>
      <c r="X49" s="13"/>
      <c r="Y49" s="52"/>
    </row>
    <row r="50" spans="1:27" x14ac:dyDescent="0.25">
      <c r="A50" s="51"/>
      <c r="F50" s="13"/>
      <c r="H50" t="s">
        <v>51</v>
      </c>
      <c r="M50" s="19">
        <v>1.3310185185185185E-3</v>
      </c>
      <c r="N50" t="s">
        <v>50</v>
      </c>
      <c r="R50"/>
      <c r="X50" s="13"/>
      <c r="Y50" s="52"/>
    </row>
    <row r="51" spans="1:27" x14ac:dyDescent="0.25">
      <c r="A51" s="51"/>
      <c r="F51" s="13"/>
      <c r="H51" t="s">
        <v>52</v>
      </c>
      <c r="M51" s="43">
        <f>(M49-M50)*60*60*24</f>
        <v>0.61598601867473501</v>
      </c>
      <c r="N51" s="8" t="s">
        <v>48</v>
      </c>
      <c r="R51"/>
      <c r="X51" s="13"/>
      <c r="Y51" s="52"/>
    </row>
    <row r="52" spans="1:27" ht="15.75" thickBot="1" x14ac:dyDescent="0.3">
      <c r="A52" s="53"/>
      <c r="B52" s="54"/>
      <c r="C52" s="54"/>
      <c r="D52" s="55"/>
      <c r="E52" s="56"/>
      <c r="F52" s="57"/>
      <c r="G52" s="54"/>
      <c r="H52" s="54"/>
      <c r="I52" s="54"/>
      <c r="J52" s="54"/>
      <c r="K52" s="54"/>
      <c r="L52" s="54"/>
      <c r="M52" s="58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7"/>
      <c r="Y52" s="59"/>
    </row>
    <row r="53" spans="1:27" x14ac:dyDescent="0.25">
      <c r="A53" s="60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7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7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7" x14ac:dyDescent="0.25">
      <c r="F56" s="13"/>
      <c r="R56"/>
      <c r="X56" s="13"/>
    </row>
    <row r="57" spans="1:27" x14ac:dyDescent="0.25">
      <c r="A57" s="62" t="s">
        <v>54</v>
      </c>
      <c r="F57" s="13"/>
      <c r="R57"/>
      <c r="X57" s="13"/>
    </row>
    <row r="58" spans="1:27" ht="15.75" thickBot="1" x14ac:dyDescent="0.3">
      <c r="F58" s="13"/>
      <c r="R58"/>
      <c r="X58" s="13"/>
    </row>
    <row r="59" spans="1:27" s="63" customFormat="1" ht="30.75" thickBot="1" x14ac:dyDescent="0.3">
      <c r="D59" s="64"/>
      <c r="E59" s="65" t="s">
        <v>55</v>
      </c>
      <c r="F59" s="66" t="s">
        <v>56</v>
      </c>
      <c r="G59" s="67"/>
      <c r="H59" s="68" t="s">
        <v>57</v>
      </c>
      <c r="I59" s="69" t="s">
        <v>58</v>
      </c>
      <c r="J59" s="69"/>
      <c r="K59" s="70" t="s">
        <v>59</v>
      </c>
      <c r="L59" s="71" t="s">
        <v>60</v>
      </c>
      <c r="M59" s="69"/>
      <c r="N59" s="72" t="s">
        <v>61</v>
      </c>
      <c r="P59" s="73"/>
      <c r="AA59" s="74"/>
    </row>
    <row r="60" spans="1:27" ht="15.75" thickBot="1" x14ac:dyDescent="0.3">
      <c r="E60" s="75"/>
      <c r="F60" s="76">
        <f>C45</f>
        <v>1.0196537186714094E-3</v>
      </c>
      <c r="G60" s="13" t="str">
        <f>D45</f>
        <v>fast</v>
      </c>
      <c r="H60" s="77">
        <f>C46</f>
        <v>-26.901918706790223</v>
      </c>
      <c r="I60" s="11">
        <f>U45</f>
        <v>1.6566422539830983E-3</v>
      </c>
      <c r="J60" s="11" t="str">
        <f>V45</f>
        <v>fast</v>
      </c>
      <c r="K60" s="78">
        <f>U46</f>
        <v>28.133890744139695</v>
      </c>
      <c r="L60" s="76">
        <f>M49</f>
        <v>1.3381479863272538E-3</v>
      </c>
      <c r="M60" s="11" t="str">
        <f>N49</f>
        <v>fast</v>
      </c>
      <c r="N60" s="79">
        <f>M51</f>
        <v>0.61598601867473501</v>
      </c>
      <c r="P60" s="12"/>
      <c r="R60"/>
      <c r="X60"/>
      <c r="AA60" s="13"/>
    </row>
    <row r="61" spans="1:27" x14ac:dyDescent="0.25">
      <c r="E61" s="80">
        <v>-10</v>
      </c>
      <c r="F61" s="81">
        <f t="dataTable" ref="F61:N75" dt2D="0" dtr="0" r1="E7"/>
        <v>1.1873388905302318E-2</v>
      </c>
      <c r="G61" s="48" t="str">
        <v>slow</v>
      </c>
      <c r="H61" s="82">
        <v>910.86080141812022</v>
      </c>
      <c r="I61" s="83">
        <v>1.4152167627966894E-2</v>
      </c>
      <c r="J61" s="83" t="str">
        <v>fast</v>
      </c>
      <c r="K61" s="84">
        <v>1107.7472830563397</v>
      </c>
      <c r="L61" s="81">
        <v>1.3012778266634606E-2</v>
      </c>
      <c r="M61" s="83" t="str">
        <v>fast</v>
      </c>
      <c r="N61" s="85">
        <v>1009.30404223723</v>
      </c>
      <c r="R61"/>
      <c r="X61" s="13"/>
    </row>
    <row r="62" spans="1:27" x14ac:dyDescent="0.25">
      <c r="E62" s="75">
        <v>-5</v>
      </c>
      <c r="F62" s="76">
        <v>5.3613539153846146E-3</v>
      </c>
      <c r="G62" s="13" t="str">
        <v>slow</v>
      </c>
      <c r="H62" s="77">
        <v>348.22097828923069</v>
      </c>
      <c r="I62" s="11">
        <v>7.8413169859471443E-3</v>
      </c>
      <c r="J62" s="11" t="str">
        <v>fast</v>
      </c>
      <c r="K62" s="78">
        <v>562.48978758583326</v>
      </c>
      <c r="L62" s="76">
        <v>6.6013354506658795E-3</v>
      </c>
      <c r="M62" s="11" t="str">
        <v>fast</v>
      </c>
      <c r="N62" s="79">
        <v>455.355382937532</v>
      </c>
      <c r="R62"/>
      <c r="X62" s="13"/>
    </row>
    <row r="63" spans="1:27" x14ac:dyDescent="0.25">
      <c r="E63" s="75">
        <v>-2</v>
      </c>
      <c r="F63" s="76">
        <v>1.4545211948340242E-3</v>
      </c>
      <c r="G63" s="13" t="str">
        <v>slow</v>
      </c>
      <c r="H63" s="77">
        <v>10.670631233659693</v>
      </c>
      <c r="I63" s="11">
        <v>4.0547862628880216E-3</v>
      </c>
      <c r="J63" s="11" t="str">
        <v>fast</v>
      </c>
      <c r="K63" s="78">
        <v>235.33353311352505</v>
      </c>
      <c r="L63" s="76">
        <v>2.7546537288610229E-3</v>
      </c>
      <c r="M63" s="11" t="str">
        <v>fast</v>
      </c>
      <c r="N63" s="79">
        <v>123.00208217359238</v>
      </c>
      <c r="R63"/>
      <c r="X63" s="13"/>
    </row>
    <row r="64" spans="1:27" x14ac:dyDescent="0.25">
      <c r="E64" s="75">
        <v>-1</v>
      </c>
      <c r="F64" s="76">
        <v>1.5230905863372612E-4</v>
      </c>
      <c r="G64" s="13" t="str">
        <v>slow</v>
      </c>
      <c r="H64" s="77">
        <v>-101.84049733404605</v>
      </c>
      <c r="I64" s="11">
        <v>2.7926059675488224E-3</v>
      </c>
      <c r="J64" s="11" t="str">
        <v>fast</v>
      </c>
      <c r="K64" s="78">
        <v>126.28115559621827</v>
      </c>
      <c r="L64" s="76">
        <v>1.4724575130912743E-3</v>
      </c>
      <c r="M64" s="11" t="str">
        <v>fast</v>
      </c>
      <c r="N64" s="79">
        <v>12.2203291310861</v>
      </c>
      <c r="R64"/>
      <c r="X64" s="13"/>
    </row>
    <row r="65" spans="5:24" x14ac:dyDescent="0.25">
      <c r="E65" s="75">
        <v>-0.5</v>
      </c>
      <c r="F65" s="76">
        <v>4.987846712002364E-4</v>
      </c>
      <c r="G65" s="13" t="str">
        <v>fast</v>
      </c>
      <c r="H65" s="77">
        <v>-71.905004408299575</v>
      </c>
      <c r="I65" s="11">
        <v>2.1615151848797254E-3</v>
      </c>
      <c r="J65" s="11" t="str">
        <v>fast</v>
      </c>
      <c r="K65" s="78">
        <v>71.754911973608273</v>
      </c>
      <c r="L65" s="76">
        <v>1.3301499280399809E-3</v>
      </c>
      <c r="M65" s="11" t="str">
        <v>fast</v>
      </c>
      <c r="N65" s="79">
        <v>-7.5046217345648564E-2</v>
      </c>
      <c r="R65"/>
      <c r="X65" s="13"/>
    </row>
    <row r="66" spans="5:24" x14ac:dyDescent="0.25">
      <c r="E66" s="75">
        <v>-0.2</v>
      </c>
      <c r="F66" s="76">
        <v>8.8943695199283912E-4</v>
      </c>
      <c r="G66" s="13" t="str">
        <v>fast</v>
      </c>
      <c r="H66" s="77">
        <v>-38.1526473478187</v>
      </c>
      <c r="I66" s="11">
        <v>1.7828605121018581E-3</v>
      </c>
      <c r="J66" s="11" t="str">
        <v>fast</v>
      </c>
      <c r="K66" s="78">
        <v>39.039148245600543</v>
      </c>
      <c r="L66" s="76">
        <v>1.3361487320473486E-3</v>
      </c>
      <c r="M66" s="11" t="str">
        <v>fast</v>
      </c>
      <c r="N66" s="79">
        <v>0.44325044889092435</v>
      </c>
      <c r="R66"/>
      <c r="X66" s="13"/>
    </row>
    <row r="67" spans="5:24" x14ac:dyDescent="0.25">
      <c r="E67" s="86">
        <v>-0.1</v>
      </c>
      <c r="F67" s="87">
        <v>1.0196537186714094E-3</v>
      </c>
      <c r="G67" s="88" t="str">
        <v>fast</v>
      </c>
      <c r="H67" s="89">
        <v>-26.901918706790223</v>
      </c>
      <c r="I67" s="90">
        <v>1.6566422539830983E-3</v>
      </c>
      <c r="J67" s="90" t="str">
        <v>fast</v>
      </c>
      <c r="K67" s="91">
        <v>28.133890744139695</v>
      </c>
      <c r="L67" s="87">
        <v>1.3381479863272538E-3</v>
      </c>
      <c r="M67" s="90" t="str">
        <v>fast</v>
      </c>
      <c r="N67" s="92">
        <v>0.61598601867473501</v>
      </c>
      <c r="R67"/>
      <c r="X67" s="13"/>
    </row>
    <row r="68" spans="5:24" x14ac:dyDescent="0.25">
      <c r="E68" s="75">
        <v>0</v>
      </c>
      <c r="F68" s="76">
        <v>1.1498701550131107E-3</v>
      </c>
      <c r="G68" s="13" t="str">
        <v>fast</v>
      </c>
      <c r="H68" s="77">
        <v>-15.651218606867229</v>
      </c>
      <c r="I68" s="11">
        <v>1.5304239789311058E-3</v>
      </c>
      <c r="J68" s="11" t="str">
        <v>fast</v>
      </c>
      <c r="K68" s="78">
        <v>17.228631779647547</v>
      </c>
      <c r="L68" s="76">
        <v>1.3401470669721083E-3</v>
      </c>
      <c r="M68" s="11" t="str">
        <v>fast</v>
      </c>
      <c r="N68" s="79">
        <v>0.788706586390158</v>
      </c>
      <c r="R68"/>
      <c r="X68" s="13"/>
    </row>
    <row r="69" spans="5:24" x14ac:dyDescent="0.25">
      <c r="E69" s="75">
        <v>0.1</v>
      </c>
      <c r="F69" s="76">
        <v>1.2800862609032571E-3</v>
      </c>
      <c r="G69" s="13" t="str">
        <v>fast</v>
      </c>
      <c r="H69" s="77">
        <v>-4.4005470579585877</v>
      </c>
      <c r="I69" s="11">
        <v>1.4042056869525421E-3</v>
      </c>
      <c r="J69" s="11" t="str">
        <v>fast</v>
      </c>
      <c r="K69" s="78">
        <v>6.32337135269964</v>
      </c>
      <c r="L69" s="76">
        <v>1.3421459739278996E-3</v>
      </c>
      <c r="M69" s="11" t="str">
        <v>fast</v>
      </c>
      <c r="N69" s="79">
        <v>0.96141214737052649</v>
      </c>
      <c r="R69"/>
      <c r="X69" s="13"/>
    </row>
    <row r="70" spans="5:24" x14ac:dyDescent="0.25">
      <c r="E70" s="75">
        <v>0.2</v>
      </c>
      <c r="F70" s="76">
        <v>1.4103020362061791E-3</v>
      </c>
      <c r="G70" s="13" t="str">
        <v>fast</v>
      </c>
      <c r="H70" s="77">
        <v>6.8500959282138769</v>
      </c>
      <c r="I70" s="11">
        <v>1.2779873780450757E-3</v>
      </c>
      <c r="J70" s="11" t="str">
        <v>fast</v>
      </c>
      <c r="K70" s="78">
        <v>-4.5818905369054592</v>
      </c>
      <c r="L70" s="76">
        <v>1.3441447071256274E-3</v>
      </c>
      <c r="M70" s="11" t="str">
        <v>fast</v>
      </c>
      <c r="N70" s="79">
        <v>1.1341026956542093</v>
      </c>
      <c r="R70"/>
      <c r="X70" s="13"/>
    </row>
    <row r="71" spans="5:24" x14ac:dyDescent="0.25">
      <c r="E71" s="75">
        <v>0.5</v>
      </c>
      <c r="F71" s="76">
        <v>1.8009473773877849E-3</v>
      </c>
      <c r="G71" s="13" t="str">
        <v>fast</v>
      </c>
      <c r="H71" s="77">
        <v>40.601853406304613</v>
      </c>
      <c r="I71" s="11">
        <v>8.9933234974759468E-4</v>
      </c>
      <c r="J71" s="11" t="str">
        <v>fast</v>
      </c>
      <c r="K71" s="78">
        <v>-37.297684981807819</v>
      </c>
      <c r="L71" s="76">
        <v>1.3501398635676898E-3</v>
      </c>
      <c r="M71" s="11" t="str">
        <v>fast</v>
      </c>
      <c r="N71" s="79">
        <v>1.6520842122483996</v>
      </c>
      <c r="R71"/>
      <c r="X71" s="13"/>
    </row>
    <row r="72" spans="5:24" x14ac:dyDescent="0.25">
      <c r="E72" s="75">
        <v>1</v>
      </c>
      <c r="F72" s="76">
        <v>2.4520163228599623E-3</v>
      </c>
      <c r="G72" s="13" t="str">
        <v>fast</v>
      </c>
      <c r="H72" s="77">
        <v>96.854210295100756</v>
      </c>
      <c r="I72" s="11">
        <v>2.6824029736882693E-4</v>
      </c>
      <c r="J72" s="11" t="str">
        <v>fast</v>
      </c>
      <c r="K72" s="78">
        <v>-91.824038307333339</v>
      </c>
      <c r="L72" s="76">
        <v>1.3601283101143946E-3</v>
      </c>
      <c r="M72" s="11" t="str">
        <v>fast</v>
      </c>
      <c r="N72" s="79">
        <v>2.5150859938836971</v>
      </c>
      <c r="R72"/>
      <c r="X72" s="13"/>
    </row>
    <row r="73" spans="5:24" x14ac:dyDescent="0.25">
      <c r="E73" s="75">
        <v>2</v>
      </c>
      <c r="F73" s="76">
        <v>3.7541293210612281E-3</v>
      </c>
      <c r="G73" s="13" t="str">
        <v>fast</v>
      </c>
      <c r="H73" s="77">
        <v>209.35677333969008</v>
      </c>
      <c r="I73" s="11">
        <v>9.9394507681438427E-4</v>
      </c>
      <c r="J73" s="11" t="str">
        <v>slow</v>
      </c>
      <c r="K73" s="78">
        <v>-29.123145363237196</v>
      </c>
      <c r="L73" s="76">
        <v>2.3740371989378062E-3</v>
      </c>
      <c r="M73" s="11" t="str">
        <v>fast</v>
      </c>
      <c r="N73" s="79">
        <v>90.116813988226468</v>
      </c>
      <c r="R73"/>
      <c r="X73" s="13"/>
    </row>
    <row r="74" spans="5:24" x14ac:dyDescent="0.25">
      <c r="E74" s="75">
        <v>5</v>
      </c>
      <c r="F74" s="76">
        <v>7.6602680499892051E-3</v>
      </c>
      <c r="G74" s="13" t="str">
        <v>fast</v>
      </c>
      <c r="H74" s="77">
        <v>546.8471595190673</v>
      </c>
      <c r="I74" s="11">
        <v>4.7805113518101239E-3</v>
      </c>
      <c r="J74" s="11" t="str">
        <v>slow</v>
      </c>
      <c r="K74" s="78">
        <v>298.03618079639466</v>
      </c>
      <c r="L74" s="76">
        <v>6.2203897008996645E-3</v>
      </c>
      <c r="M74" s="11" t="str">
        <v>fast</v>
      </c>
      <c r="N74" s="79">
        <v>422.44167015773098</v>
      </c>
      <c r="R74"/>
      <c r="X74" s="13"/>
    </row>
    <row r="75" spans="5:24" ht="15.75" thickBot="1" x14ac:dyDescent="0.3">
      <c r="E75" s="93">
        <v>10</v>
      </c>
      <c r="F75" s="94">
        <v>1.4169824132654441E-2</v>
      </c>
      <c r="G75" s="57" t="str">
        <v>fast</v>
      </c>
      <c r="H75" s="95">
        <v>1109.2728050613437</v>
      </c>
      <c r="I75" s="96">
        <v>1.109148896542056E-2</v>
      </c>
      <c r="J75" s="96" t="str">
        <v>slow</v>
      </c>
      <c r="K75" s="97">
        <v>843.30464661233646</v>
      </c>
      <c r="L75" s="94">
        <v>1.26306565490375E-2</v>
      </c>
      <c r="M75" s="96" t="str">
        <v>fast</v>
      </c>
      <c r="N75" s="98">
        <v>976.28872583684006</v>
      </c>
      <c r="R75"/>
      <c r="X75" s="13"/>
    </row>
    <row r="76" spans="5:24" x14ac:dyDescent="0.25">
      <c r="F76" s="13"/>
      <c r="R76"/>
      <c r="X76" s="13"/>
    </row>
    <row r="77" spans="5:24" x14ac:dyDescent="0.25">
      <c r="F77" s="13"/>
      <c r="R77"/>
      <c r="X77" s="13"/>
    </row>
    <row r="78" spans="5:24" x14ac:dyDescent="0.25">
      <c r="F78" s="13"/>
      <c r="R78"/>
      <c r="X78" s="13"/>
    </row>
    <row r="79" spans="5:24" x14ac:dyDescent="0.25">
      <c r="F79" s="13"/>
      <c r="R79"/>
      <c r="X79" s="13"/>
    </row>
    <row r="80" spans="5:24" x14ac:dyDescent="0.25">
      <c r="F80" s="13"/>
      <c r="R80"/>
      <c r="X80" s="13"/>
    </row>
    <row r="81" spans="6:24" x14ac:dyDescent="0.25">
      <c r="F81" s="13"/>
      <c r="R81"/>
      <c r="X81" s="13"/>
    </row>
    <row r="82" spans="6:24" x14ac:dyDescent="0.25">
      <c r="F82" s="13"/>
      <c r="R82"/>
      <c r="X82" s="13"/>
    </row>
    <row r="83" spans="6:24" x14ac:dyDescent="0.25">
      <c r="F83" s="13"/>
      <c r="R83"/>
      <c r="X83" s="13"/>
    </row>
    <row r="84" spans="6:24" x14ac:dyDescent="0.25">
      <c r="F84" s="13"/>
      <c r="R84"/>
      <c r="X84" s="13"/>
    </row>
    <row r="85" spans="6:24" x14ac:dyDescent="0.25">
      <c r="F85" s="13"/>
      <c r="R85"/>
      <c r="X85" s="13"/>
    </row>
    <row r="86" spans="6:24" x14ac:dyDescent="0.25">
      <c r="F86" s="13"/>
      <c r="R86"/>
      <c r="X86" s="13"/>
    </row>
    <row r="87" spans="6:24" x14ac:dyDescent="0.25">
      <c r="F87" s="13"/>
      <c r="R87"/>
      <c r="X87" s="13"/>
    </row>
    <row r="88" spans="6:24" x14ac:dyDescent="0.25">
      <c r="F88" s="13"/>
      <c r="R88"/>
      <c r="X88" s="13"/>
    </row>
    <row r="89" spans="6:24" x14ac:dyDescent="0.25">
      <c r="F89" s="13"/>
      <c r="R89"/>
      <c r="X89" s="13"/>
    </row>
    <row r="90" spans="6:24" x14ac:dyDescent="0.25">
      <c r="F90" s="13"/>
      <c r="R90"/>
      <c r="X90" s="13"/>
    </row>
    <row r="91" spans="6:24" x14ac:dyDescent="0.25">
      <c r="F91" s="13"/>
      <c r="R91"/>
      <c r="X91" s="13"/>
    </row>
    <row r="92" spans="6:24" x14ac:dyDescent="0.25">
      <c r="F92" s="13"/>
      <c r="R92"/>
      <c r="X92" s="13"/>
    </row>
    <row r="93" spans="6:24" x14ac:dyDescent="0.25">
      <c r="F93" s="13"/>
      <c r="R93"/>
      <c r="X93" s="13"/>
    </row>
    <row r="94" spans="6:24" x14ac:dyDescent="0.25">
      <c r="F94" s="13"/>
      <c r="R94"/>
      <c r="X94" s="13"/>
    </row>
    <row r="95" spans="6:24" x14ac:dyDescent="0.25">
      <c r="F95" s="13"/>
      <c r="R95"/>
      <c r="X95" s="13"/>
    </row>
    <row r="96" spans="6:24" x14ac:dyDescent="0.25">
      <c r="F96" s="13"/>
      <c r="R96"/>
      <c r="X96" s="13"/>
    </row>
    <row r="97" spans="6:24" x14ac:dyDescent="0.25">
      <c r="F97" s="13"/>
      <c r="R97"/>
      <c r="X97" s="13"/>
    </row>
    <row r="98" spans="6:24" x14ac:dyDescent="0.25">
      <c r="F98" s="13"/>
      <c r="R98"/>
      <c r="X98" s="13"/>
    </row>
    <row r="99" spans="6:24" x14ac:dyDescent="0.25">
      <c r="F99" s="13"/>
      <c r="R99"/>
      <c r="X99" s="13"/>
    </row>
    <row r="100" spans="6:24" x14ac:dyDescent="0.25">
      <c r="F100" s="13"/>
      <c r="R100"/>
      <c r="X100" s="13"/>
    </row>
    <row r="101" spans="6:24" x14ac:dyDescent="0.25">
      <c r="F101" s="13"/>
      <c r="R101"/>
      <c r="X101" s="13"/>
    </row>
    <row r="102" spans="6:24" x14ac:dyDescent="0.25">
      <c r="F102" s="13"/>
      <c r="R102"/>
      <c r="X102" s="13"/>
    </row>
    <row r="103" spans="6:24" x14ac:dyDescent="0.25">
      <c r="F103" s="13"/>
      <c r="R103"/>
      <c r="X103" s="13"/>
    </row>
    <row r="104" spans="6:24" x14ac:dyDescent="0.25">
      <c r="F104" s="13"/>
      <c r="R104"/>
      <c r="X104" s="13"/>
    </row>
    <row r="105" spans="6:24" x14ac:dyDescent="0.25">
      <c r="F105" s="13"/>
      <c r="R105"/>
      <c r="X105" s="13"/>
    </row>
    <row r="106" spans="6:24" x14ac:dyDescent="0.25">
      <c r="F106" s="13"/>
      <c r="R106"/>
      <c r="X106" s="13"/>
    </row>
    <row r="107" spans="6:24" x14ac:dyDescent="0.25">
      <c r="F107" s="13"/>
      <c r="R107"/>
      <c r="X107" s="13"/>
    </row>
    <row r="108" spans="6:24" x14ac:dyDescent="0.25">
      <c r="F108" s="13"/>
      <c r="R108"/>
      <c r="X108" s="13"/>
    </row>
    <row r="109" spans="6:24" x14ac:dyDescent="0.25">
      <c r="F109" s="13"/>
      <c r="R109"/>
      <c r="X109" s="13"/>
    </row>
  </sheetData>
  <mergeCells count="5">
    <mergeCell ref="V2:W2"/>
    <mergeCell ref="A53:Y55"/>
    <mergeCell ref="F59:G59"/>
    <mergeCell ref="I59:J59"/>
    <mergeCell ref="L59:M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BCEC-7503-49B5-BF6D-1C7854904A78}">
  <dimension ref="A1:AI119"/>
  <sheetViews>
    <sheetView topLeftCell="A46" workbookViewId="0">
      <selection activeCell="P62" sqref="P62"/>
    </sheetView>
  </sheetViews>
  <sheetFormatPr defaultRowHeight="15" x14ac:dyDescent="0.25"/>
  <cols>
    <col min="1" max="1" width="10.140625" bestFit="1" customWidth="1"/>
    <col min="2" max="2" width="10.85546875" customWidth="1"/>
    <col min="3" max="3" width="10.7109375" bestFit="1" customWidth="1"/>
    <col min="4" max="4" width="4.7109375" style="8" customWidth="1"/>
    <col min="5" max="5" width="7.140625" style="9" bestFit="1" customWidth="1"/>
    <col min="6" max="6" width="9.85546875" style="4" customWidth="1"/>
    <col min="11" max="12" width="8.42578125" customWidth="1"/>
    <col min="13" max="13" width="8.28515625" style="12" customWidth="1"/>
    <col min="15" max="15" width="12.7109375" customWidth="1"/>
    <col min="16" max="16" width="4.28515625" customWidth="1"/>
    <col min="17" max="17" width="5" bestFit="1" customWidth="1"/>
    <col min="18" max="18" width="4.85546875" style="14" customWidth="1"/>
    <col min="19" max="19" width="10.7109375" customWidth="1"/>
    <col min="20" max="20" width="10.140625" customWidth="1"/>
    <col min="21" max="21" width="10.85546875" customWidth="1"/>
    <col min="22" max="22" width="5.5703125" customWidth="1"/>
    <col min="23" max="23" width="7" customWidth="1"/>
    <col min="24" max="24" width="9.85546875" style="4" customWidth="1"/>
    <col min="34" max="34" width="4.7109375" customWidth="1"/>
    <col min="35" max="35" width="5.140625" bestFit="1" customWidth="1"/>
  </cols>
  <sheetData>
    <row r="1" spans="1:35" s="1" customFormat="1" ht="21" x14ac:dyDescent="0.35">
      <c r="A1" s="1" t="s">
        <v>62</v>
      </c>
      <c r="D1" s="2"/>
      <c r="E1" s="3"/>
      <c r="F1" s="4"/>
      <c r="M1" s="5" t="s">
        <v>1</v>
      </c>
      <c r="N1" s="6" t="s">
        <v>2</v>
      </c>
      <c r="O1" s="6"/>
      <c r="R1" s="7"/>
      <c r="S1" s="1" t="s">
        <v>3</v>
      </c>
      <c r="V1" s="2"/>
      <c r="W1" s="3"/>
      <c r="X1" s="4"/>
      <c r="AE1" s="5" t="s">
        <v>1</v>
      </c>
      <c r="AF1" s="6" t="s">
        <v>2</v>
      </c>
    </row>
    <row r="2" spans="1:35" ht="15.75" thickBot="1" x14ac:dyDescent="0.3">
      <c r="D2" s="8" t="s">
        <v>4</v>
      </c>
      <c r="F2" s="4" t="s">
        <v>5</v>
      </c>
      <c r="G2" s="10" t="s">
        <v>6</v>
      </c>
      <c r="I2" t="s">
        <v>63</v>
      </c>
      <c r="J2" s="11">
        <v>0.80931712962962965</v>
      </c>
      <c r="K2" s="8">
        <v>35</v>
      </c>
      <c r="L2" s="9">
        <v>0</v>
      </c>
      <c r="M2" s="12">
        <f>(J2-$J$13)*24*60*60</f>
        <v>-363.79999999998523</v>
      </c>
      <c r="N2" s="13">
        <f>K2+L2/60</f>
        <v>35</v>
      </c>
      <c r="V2" s="15" t="s">
        <v>4</v>
      </c>
      <c r="W2" s="15"/>
      <c r="X2" s="4" t="s">
        <v>5</v>
      </c>
      <c r="Y2" s="10" t="s">
        <v>6</v>
      </c>
      <c r="AA2" t="s">
        <v>8</v>
      </c>
      <c r="AB2" s="11">
        <v>0.83114583333333336</v>
      </c>
      <c r="AC2" s="8">
        <v>42</v>
      </c>
      <c r="AD2" s="9">
        <v>58</v>
      </c>
      <c r="AE2" s="12">
        <f>(AB2-$AB$13)*24*60*60</f>
        <v>-693.19999999999459</v>
      </c>
      <c r="AF2" s="13">
        <f>AC2+AD2/60</f>
        <v>42.966666666666669</v>
      </c>
    </row>
    <row r="3" spans="1:35" ht="15.75" thickBot="1" x14ac:dyDescent="0.3">
      <c r="A3" s="16">
        <v>44130</v>
      </c>
      <c r="C3" t="s">
        <v>9</v>
      </c>
      <c r="D3" s="8">
        <f>K13</f>
        <v>50</v>
      </c>
      <c r="E3" s="9">
        <f>L13</f>
        <v>58.93999999999977</v>
      </c>
      <c r="F3" s="4">
        <f t="shared" ref="F3:F5" si="0">D3+E3/60</f>
        <v>50.98233333333333</v>
      </c>
      <c r="J3" s="11">
        <v>0.81805555555555554</v>
      </c>
      <c r="K3" s="8">
        <v>33</v>
      </c>
      <c r="L3" s="9">
        <v>1</v>
      </c>
      <c r="M3" s="12">
        <f t="shared" ref="M3:M5" si="1">(J3-$J$13)*24*60*60</f>
        <v>391.2000000000113</v>
      </c>
      <c r="N3" s="13">
        <f t="shared" ref="N3:N5" si="2">K3+L3/60</f>
        <v>33.016666666666666</v>
      </c>
      <c r="O3">
        <f>(N3-N2)/(M3-M2)*(-M2)+N2</f>
        <v>34.04432229580577</v>
      </c>
      <c r="P3" s="17">
        <f>INT(O3)</f>
        <v>34</v>
      </c>
      <c r="Q3" s="18">
        <f>(O3-P3)*60</f>
        <v>2.6593377483462177</v>
      </c>
      <c r="S3" s="16">
        <v>44130</v>
      </c>
      <c r="U3" t="s">
        <v>9</v>
      </c>
      <c r="V3" s="8">
        <f>AC13</f>
        <v>36</v>
      </c>
      <c r="W3" s="9">
        <f>AD13</f>
        <v>31.539999999999964</v>
      </c>
      <c r="X3" s="4">
        <f t="shared" ref="X3:X10" si="3">V3+W3/60</f>
        <v>36.525666666666666</v>
      </c>
      <c r="AB3" s="11">
        <v>0.8429861111111111</v>
      </c>
      <c r="AC3" s="8">
        <v>44</v>
      </c>
      <c r="AD3" s="9">
        <v>26</v>
      </c>
      <c r="AE3" s="12">
        <f t="shared" ref="AE3:AE5" si="4">(AB3-$AB$13)*24*60*60</f>
        <v>329.80000000000234</v>
      </c>
      <c r="AF3" s="13">
        <f t="shared" ref="AF3:AF5" si="5">AC3+AD3/60</f>
        <v>44.43333333333333</v>
      </c>
      <c r="AG3">
        <f>(AF3-AF2)/(AE3-AE2)*(-AE2)+AF2</f>
        <v>43.960501792114691</v>
      </c>
      <c r="AH3" s="17">
        <f>INT(AG3)</f>
        <v>43</v>
      </c>
      <c r="AI3" s="18">
        <f>(AG3-AH3)*60</f>
        <v>57.63010752688146</v>
      </c>
    </row>
    <row r="4" spans="1:35" ht="15.75" thickBot="1" x14ac:dyDescent="0.3">
      <c r="A4" s="11">
        <f>J13</f>
        <v>0.81352777777777763</v>
      </c>
      <c r="C4" t="s">
        <v>10</v>
      </c>
      <c r="D4" s="8">
        <f>P5</f>
        <v>30</v>
      </c>
      <c r="E4" s="9">
        <f>Q5</f>
        <v>2.0201892744479721</v>
      </c>
      <c r="F4" s="4">
        <f t="shared" si="0"/>
        <v>30.0336698212408</v>
      </c>
      <c r="G4">
        <f t="shared" ref="G4" si="6">RADIANS(F4)</f>
        <v>0.52418642483750877</v>
      </c>
      <c r="I4" t="s">
        <v>11</v>
      </c>
      <c r="J4" s="11">
        <v>0.80989583333333337</v>
      </c>
      <c r="K4" s="8">
        <v>30</v>
      </c>
      <c r="L4" s="9">
        <v>4</v>
      </c>
      <c r="M4" s="12">
        <f t="shared" si="1"/>
        <v>-313.79999999998381</v>
      </c>
      <c r="N4" s="13">
        <f t="shared" si="2"/>
        <v>30.066666666666666</v>
      </c>
      <c r="S4" s="11">
        <f>AB13</f>
        <v>0.83916898148148145</v>
      </c>
      <c r="U4" t="s">
        <v>10</v>
      </c>
      <c r="V4" s="8">
        <f>AH5</f>
        <v>29</v>
      </c>
      <c r="W4" s="9">
        <f>AI5</f>
        <v>21.501207464325063</v>
      </c>
      <c r="X4" s="4">
        <f t="shared" si="3"/>
        <v>29.358353457738751</v>
      </c>
      <c r="Y4">
        <f t="shared" ref="Y4" si="7">RADIANS(X4)</f>
        <v>0.51239993080180313</v>
      </c>
      <c r="AA4" t="s">
        <v>11</v>
      </c>
      <c r="AB4" s="11">
        <v>0.83170138888888889</v>
      </c>
      <c r="AC4" s="8">
        <v>29</v>
      </c>
      <c r="AD4" s="9">
        <v>30</v>
      </c>
      <c r="AE4" s="12">
        <f t="shared" si="4"/>
        <v>-645.19999999999663</v>
      </c>
      <c r="AF4" s="13">
        <f t="shared" si="5"/>
        <v>29.5</v>
      </c>
    </row>
    <row r="5" spans="1:35" ht="15.75" thickBot="1" x14ac:dyDescent="0.3">
      <c r="C5" t="s">
        <v>64</v>
      </c>
      <c r="D5" s="8">
        <f>P3</f>
        <v>34</v>
      </c>
      <c r="E5" s="9">
        <f>Q3</f>
        <v>2.6593377483462177</v>
      </c>
      <c r="F5" s="4">
        <f t="shared" si="0"/>
        <v>34.04432229580577</v>
      </c>
      <c r="J5" s="11">
        <v>0.81723379629629633</v>
      </c>
      <c r="K5" s="8">
        <v>30</v>
      </c>
      <c r="L5" s="9">
        <v>0</v>
      </c>
      <c r="M5" s="12">
        <f t="shared" si="1"/>
        <v>320.20000000001619</v>
      </c>
      <c r="N5" s="13">
        <f t="shared" si="2"/>
        <v>30</v>
      </c>
      <c r="O5">
        <f>(N5-N4)/(M5-M4)*(-M4)+N4</f>
        <v>30.0336698212408</v>
      </c>
      <c r="P5" s="17">
        <f>INT(O5)</f>
        <v>30</v>
      </c>
      <c r="Q5" s="18">
        <f>(O5-P5)*60</f>
        <v>2.0201892744479721</v>
      </c>
      <c r="U5" t="s">
        <v>13</v>
      </c>
      <c r="V5" s="8">
        <f>AH3</f>
        <v>43</v>
      </c>
      <c r="W5" s="9">
        <f>AI3</f>
        <v>57.63010752688146</v>
      </c>
      <c r="X5" s="4">
        <f t="shared" si="3"/>
        <v>43.960501792114691</v>
      </c>
      <c r="AB5" s="11">
        <v>0.84224537037037039</v>
      </c>
      <c r="AC5" s="8">
        <v>29</v>
      </c>
      <c r="AD5" s="9">
        <v>18</v>
      </c>
      <c r="AE5" s="12">
        <f t="shared" si="4"/>
        <v>265.80000000000507</v>
      </c>
      <c r="AF5" s="13">
        <f t="shared" si="5"/>
        <v>29.3</v>
      </c>
      <c r="AG5">
        <f>(AF5-AF4)/(AE5-AE4)*(-AE4)+AF4</f>
        <v>29.358353457738751</v>
      </c>
      <c r="AH5" s="17">
        <f>INT(AG5)</f>
        <v>29</v>
      </c>
      <c r="AI5" s="18">
        <f>(AG5-AH5)*60</f>
        <v>21.501207464325063</v>
      </c>
    </row>
    <row r="6" spans="1:35" x14ac:dyDescent="0.25">
      <c r="I6" s="19" t="s">
        <v>65</v>
      </c>
      <c r="V6" s="8"/>
      <c r="W6" s="9"/>
      <c r="AA6" s="19" t="s">
        <v>15</v>
      </c>
      <c r="AE6" s="12"/>
    </row>
    <row r="7" spans="1:35" x14ac:dyDescent="0.25">
      <c r="C7" t="s">
        <v>16</v>
      </c>
      <c r="E7" s="9">
        <v>-0.1</v>
      </c>
      <c r="F7" s="4">
        <f t="shared" ref="F7:F8" si="8">D7+E7/60</f>
        <v>-1.6666666666666668E-3</v>
      </c>
      <c r="J7" s="11">
        <v>0.81128472222222225</v>
      </c>
      <c r="K7" s="8">
        <v>50</v>
      </c>
      <c r="L7" s="9">
        <v>58.2</v>
      </c>
      <c r="N7" s="13">
        <f t="shared" ref="N7:N11" si="9">K7+L7/60</f>
        <v>50.97</v>
      </c>
      <c r="O7" s="20"/>
      <c r="U7" t="s">
        <v>16</v>
      </c>
      <c r="V7" s="8"/>
      <c r="W7" s="9">
        <f>E7</f>
        <v>-0.1</v>
      </c>
      <c r="X7" s="4">
        <f t="shared" si="3"/>
        <v>-1.6666666666666668E-3</v>
      </c>
      <c r="AB7" s="11">
        <v>0.83696759259259268</v>
      </c>
      <c r="AC7" s="8">
        <v>36</v>
      </c>
      <c r="AD7" s="9">
        <v>32.700000000000003</v>
      </c>
      <c r="AE7" s="12"/>
      <c r="AF7" s="13">
        <f>AC7+AD7/60</f>
        <v>36.545000000000002</v>
      </c>
      <c r="AG7" s="20"/>
    </row>
    <row r="8" spans="1:35" x14ac:dyDescent="0.25">
      <c r="C8" t="s">
        <v>17</v>
      </c>
      <c r="E8" s="9">
        <v>2.2999999999999998</v>
      </c>
      <c r="F8" s="4">
        <f t="shared" si="8"/>
        <v>3.833333333333333E-2</v>
      </c>
      <c r="J8" s="21">
        <v>0.8122800925925926</v>
      </c>
      <c r="K8" s="8">
        <v>50</v>
      </c>
      <c r="L8" s="9">
        <v>58.7</v>
      </c>
      <c r="N8" s="13">
        <f t="shared" si="9"/>
        <v>50.978333333333332</v>
      </c>
      <c r="O8" s="20"/>
      <c r="U8" t="s">
        <v>17</v>
      </c>
      <c r="V8" s="8"/>
      <c r="W8" s="9">
        <v>2.2999999999999998</v>
      </c>
      <c r="X8" s="4">
        <f t="shared" si="3"/>
        <v>3.833333333333333E-2</v>
      </c>
      <c r="AB8" s="11">
        <v>0.83826388888888881</v>
      </c>
      <c r="AC8" s="8">
        <v>36</v>
      </c>
      <c r="AD8" s="9">
        <v>31.8</v>
      </c>
      <c r="AE8" s="12"/>
      <c r="AF8" s="13">
        <f t="shared" ref="AF8:AF11" si="10">AC8+AD8/60</f>
        <v>36.53</v>
      </c>
      <c r="AG8" s="20"/>
    </row>
    <row r="9" spans="1:35" x14ac:dyDescent="0.25">
      <c r="J9" s="21">
        <v>0.81342592592592589</v>
      </c>
      <c r="K9" s="8">
        <v>50</v>
      </c>
      <c r="L9" s="9">
        <v>58.7</v>
      </c>
      <c r="N9" s="13">
        <f t="shared" si="9"/>
        <v>50.978333333333332</v>
      </c>
      <c r="O9" s="20"/>
      <c r="V9" s="8"/>
      <c r="W9" s="9"/>
      <c r="AB9" s="11">
        <v>0.83901620370370367</v>
      </c>
      <c r="AC9" s="8">
        <v>36</v>
      </c>
      <c r="AD9" s="9">
        <v>31.9</v>
      </c>
      <c r="AE9" s="12"/>
      <c r="AF9" s="13">
        <f t="shared" si="10"/>
        <v>36.531666666666666</v>
      </c>
      <c r="AG9" s="20"/>
    </row>
    <row r="10" spans="1:35" x14ac:dyDescent="0.25">
      <c r="A10" t="s">
        <v>18</v>
      </c>
      <c r="E10" s="9">
        <f>3284.7/60</f>
        <v>54.744999999999997</v>
      </c>
      <c r="F10" s="4">
        <f t="shared" ref="F10" si="11">D10+E10/60</f>
        <v>0.91241666666666665</v>
      </c>
      <c r="J10" s="11">
        <v>0.81482638888888881</v>
      </c>
      <c r="K10" s="8">
        <v>50</v>
      </c>
      <c r="L10" s="9">
        <v>59.2</v>
      </c>
      <c r="N10" s="13">
        <f t="shared" si="9"/>
        <v>50.986666666666665</v>
      </c>
      <c r="O10" s="20"/>
      <c r="S10" t="s">
        <v>18</v>
      </c>
      <c r="V10" s="8"/>
      <c r="W10" s="9">
        <f>3284/60</f>
        <v>54.733333333333334</v>
      </c>
      <c r="X10" s="4">
        <f t="shared" si="3"/>
        <v>0.91222222222222227</v>
      </c>
      <c r="AB10" s="11">
        <v>0.84012731481481484</v>
      </c>
      <c r="AC10" s="8">
        <v>36</v>
      </c>
      <c r="AD10" s="9">
        <v>30.9</v>
      </c>
      <c r="AE10" s="12"/>
      <c r="AF10" s="13">
        <f t="shared" si="10"/>
        <v>36.515000000000001</v>
      </c>
      <c r="AG10" s="20"/>
    </row>
    <row r="11" spans="1:35" x14ac:dyDescent="0.25">
      <c r="J11" s="11">
        <v>0.81582175925925926</v>
      </c>
      <c r="K11" s="8">
        <v>50</v>
      </c>
      <c r="L11" s="9">
        <v>59.9</v>
      </c>
      <c r="N11" s="13">
        <f t="shared" si="9"/>
        <v>50.998333333333335</v>
      </c>
      <c r="O11" s="20"/>
      <c r="V11" s="8"/>
      <c r="W11" s="9"/>
      <c r="AB11" s="11">
        <v>0.84146990740740746</v>
      </c>
      <c r="AC11" s="8">
        <v>36</v>
      </c>
      <c r="AD11" s="9">
        <v>30.4</v>
      </c>
      <c r="AE11" s="12"/>
      <c r="AF11" s="13">
        <f t="shared" si="10"/>
        <v>36.506666666666668</v>
      </c>
      <c r="AG11" s="20"/>
    </row>
    <row r="12" spans="1:35" ht="15.75" thickBot="1" x14ac:dyDescent="0.3">
      <c r="A12" t="s">
        <v>19</v>
      </c>
      <c r="E12" s="9">
        <f>E10*0.2724</f>
        <v>14.912537999999998</v>
      </c>
      <c r="I12" t="s">
        <v>20</v>
      </c>
      <c r="J12" s="11"/>
      <c r="K12" s="8"/>
      <c r="L12" s="9"/>
      <c r="S12" t="s">
        <v>19</v>
      </c>
      <c r="V12" s="8"/>
      <c r="W12" s="9">
        <f>W10*0.2724</f>
        <v>14.90936</v>
      </c>
      <c r="AA12" t="s">
        <v>20</v>
      </c>
      <c r="AB12" s="11"/>
      <c r="AC12" s="8"/>
      <c r="AD12" s="9"/>
      <c r="AE12" s="12"/>
    </row>
    <row r="13" spans="1:35" ht="15.75" thickBot="1" x14ac:dyDescent="0.3">
      <c r="A13" t="s">
        <v>21</v>
      </c>
      <c r="E13" s="9">
        <f>0.3*SIN(RADIANS(D4+E4/60))</f>
        <v>0.15015264984224244</v>
      </c>
      <c r="J13" s="22">
        <f>AVERAGE(J7:J11)</f>
        <v>0.81352777777777763</v>
      </c>
      <c r="K13" s="17">
        <f>INT(N13)</f>
        <v>50</v>
      </c>
      <c r="L13" s="18">
        <f>(N13-K13)*60</f>
        <v>58.93999999999977</v>
      </c>
      <c r="N13" s="13">
        <f>AVERAGE(N7:N11)</f>
        <v>50.98233333333333</v>
      </c>
      <c r="S13" t="s">
        <v>21</v>
      </c>
      <c r="V13" s="8"/>
      <c r="W13" s="9">
        <f>0.3*SIN(Y4)</f>
        <v>0.14708110962886775</v>
      </c>
      <c r="AB13" s="22">
        <f>AVERAGE(AB7:AB11)</f>
        <v>0.83916898148148145</v>
      </c>
      <c r="AC13" s="17">
        <f>INT(AF13)</f>
        <v>36</v>
      </c>
      <c r="AD13" s="18">
        <f>(AF13-AC13)*60</f>
        <v>31.539999999999964</v>
      </c>
      <c r="AE13" s="12"/>
      <c r="AF13" s="13">
        <f>AVERAGE(AF7:AF11)</f>
        <v>36.525666666666666</v>
      </c>
    </row>
    <row r="14" spans="1:35" x14ac:dyDescent="0.25">
      <c r="A14" t="s">
        <v>22</v>
      </c>
      <c r="E14" s="9">
        <f>SUM(E12:E13)</f>
        <v>15.06269064984224</v>
      </c>
      <c r="F14" s="4">
        <f>D14+E14/60</f>
        <v>0.25104484416403733</v>
      </c>
      <c r="J14" s="11"/>
      <c r="K14" s="8"/>
      <c r="L14" s="9"/>
      <c r="S14" t="s">
        <v>22</v>
      </c>
      <c r="V14" s="8"/>
      <c r="W14" s="9">
        <f>SUM(W12:W13)</f>
        <v>15.056441109628867</v>
      </c>
      <c r="X14" s="4">
        <f>V14+W14/60</f>
        <v>0.25094068516048113</v>
      </c>
      <c r="AB14" s="11"/>
      <c r="AC14" s="8"/>
      <c r="AD14" s="9"/>
      <c r="AE14" s="12"/>
    </row>
    <row r="15" spans="1:35" x14ac:dyDescent="0.25">
      <c r="J15" s="11"/>
      <c r="K15" s="8"/>
      <c r="L15" s="9"/>
      <c r="V15" s="8"/>
      <c r="W15" s="9"/>
      <c r="AB15" s="11"/>
      <c r="AC15" s="8"/>
      <c r="AD15" s="9"/>
      <c r="AE15" s="12"/>
    </row>
    <row r="16" spans="1:35" x14ac:dyDescent="0.25">
      <c r="A16" t="s">
        <v>23</v>
      </c>
      <c r="C16" s="6"/>
      <c r="D16" s="23">
        <f>INT(F16)</f>
        <v>51</v>
      </c>
      <c r="E16" s="24">
        <f>(F16-D16)*60</f>
        <v>14.102690649841776</v>
      </c>
      <c r="F16" s="4">
        <f>F3-F7+F14</f>
        <v>51.23504484416403</v>
      </c>
      <c r="G16">
        <f t="shared" ref="G16:G19" si="12">RADIANS(F16)</f>
        <v>0.89422022493760733</v>
      </c>
      <c r="J16" s="11">
        <f>J13-$M$50</f>
        <v>0.81210416666666652</v>
      </c>
      <c r="K16" s="8" t="s">
        <v>24</v>
      </c>
      <c r="L16" s="9"/>
      <c r="S16" t="s">
        <v>25</v>
      </c>
      <c r="U16" s="6"/>
      <c r="V16" s="23">
        <f>INT(X16)</f>
        <v>36</v>
      </c>
      <c r="W16" s="24">
        <f>(X16-V16)*60</f>
        <v>16.583558890371108</v>
      </c>
      <c r="X16" s="4">
        <f>X3-X7-X14</f>
        <v>36.276392648172852</v>
      </c>
      <c r="Y16">
        <f t="shared" ref="Y16:Y19" si="13">RADIANS(X16)</f>
        <v>0.63314249245688115</v>
      </c>
      <c r="AB16" s="11">
        <f>AB13-$M$50</f>
        <v>0.83774537037037033</v>
      </c>
      <c r="AC16" s="8" t="s">
        <v>24</v>
      </c>
      <c r="AD16" s="9"/>
      <c r="AE16" s="12"/>
    </row>
    <row r="17" spans="2:31" x14ac:dyDescent="0.25">
      <c r="V17" s="8"/>
      <c r="W17" s="9"/>
      <c r="AE17" s="12"/>
    </row>
    <row r="18" spans="2:31" x14ac:dyDescent="0.25">
      <c r="C18" s="6" t="s">
        <v>26</v>
      </c>
      <c r="D18" s="23">
        <f>INT(F18)</f>
        <v>29</v>
      </c>
      <c r="E18" s="24">
        <f>(F18-D18)*60</f>
        <v>59.720189274447932</v>
      </c>
      <c r="F18" s="4">
        <f>F4-F8</f>
        <v>29.995336487907466</v>
      </c>
      <c r="G18">
        <f t="shared" si="12"/>
        <v>0.52351738195757758</v>
      </c>
      <c r="U18" s="6" t="s">
        <v>26</v>
      </c>
      <c r="V18" s="23">
        <f>INT(X18)</f>
        <v>29</v>
      </c>
      <c r="W18" s="24">
        <f t="shared" ref="W18:W19" si="14">(X18-V18)*60</f>
        <v>19.201207464325023</v>
      </c>
      <c r="X18" s="4">
        <f>X4-X8</f>
        <v>29.320020124405417</v>
      </c>
      <c r="Y18">
        <f t="shared" si="13"/>
        <v>0.51173088792187194</v>
      </c>
      <c r="AE18" s="12"/>
    </row>
    <row r="19" spans="2:31" x14ac:dyDescent="0.25">
      <c r="C19" s="6" t="s">
        <v>66</v>
      </c>
      <c r="D19" s="23">
        <f>INT(F19)</f>
        <v>34</v>
      </c>
      <c r="E19" s="24">
        <f>(F19-D19)*60</f>
        <v>0.35933774834617793</v>
      </c>
      <c r="F19" s="4">
        <f>F5-F8</f>
        <v>34.005988962472436</v>
      </c>
      <c r="G19">
        <f t="shared" si="12"/>
        <v>0.59351647279199449</v>
      </c>
      <c r="U19" s="6" t="s">
        <v>28</v>
      </c>
      <c r="V19" s="23">
        <f>INT(X19)</f>
        <v>43</v>
      </c>
      <c r="W19" s="24">
        <f t="shared" si="14"/>
        <v>55.33010752688142</v>
      </c>
      <c r="X19" s="4">
        <f>X5-X8</f>
        <v>43.922168458781357</v>
      </c>
      <c r="Y19">
        <f t="shared" si="13"/>
        <v>0.76658645422133798</v>
      </c>
      <c r="AE19" s="12"/>
    </row>
    <row r="20" spans="2:31" x14ac:dyDescent="0.25">
      <c r="V20" s="8"/>
      <c r="W20" s="9"/>
      <c r="AE20" s="12"/>
    </row>
    <row r="21" spans="2:31" x14ac:dyDescent="0.25">
      <c r="E21" s="9">
        <v>59</v>
      </c>
      <c r="V21" s="8"/>
      <c r="W21" s="9">
        <v>59.3</v>
      </c>
      <c r="AE21" s="12"/>
    </row>
    <row r="22" spans="2:31" x14ac:dyDescent="0.25">
      <c r="E22" s="9">
        <f>(1.5+1.8)/2-15</f>
        <v>-13.35</v>
      </c>
      <c r="V22" s="8"/>
      <c r="W22" s="9">
        <f>(1.5+1.7)/2-15</f>
        <v>-13.4</v>
      </c>
      <c r="AE22" s="12"/>
    </row>
    <row r="23" spans="2:31" x14ac:dyDescent="0.25">
      <c r="C23" t="s">
        <v>29</v>
      </c>
      <c r="E23" s="9">
        <f>SUM(E21:E22)</f>
        <v>45.65</v>
      </c>
      <c r="F23" s="4">
        <f t="shared" ref="F23" si="15">D23+E23/60</f>
        <v>0.76083333333333336</v>
      </c>
      <c r="U23" t="s">
        <v>29</v>
      </c>
      <c r="V23" s="8"/>
      <c r="W23" s="9">
        <f>SUM(W21:W22)</f>
        <v>45.9</v>
      </c>
      <c r="X23" s="4">
        <f t="shared" ref="X23" si="16">V23+W23/60</f>
        <v>0.76500000000000001</v>
      </c>
      <c r="AE23" s="12"/>
    </row>
    <row r="24" spans="2:31" x14ac:dyDescent="0.25">
      <c r="C24" s="6" t="s">
        <v>30</v>
      </c>
      <c r="D24" s="23">
        <f>INT(F24)</f>
        <v>30</v>
      </c>
      <c r="E24" s="24">
        <f>(F24-D24)*60</f>
        <v>45.370189274447981</v>
      </c>
      <c r="F24" s="4">
        <f>F18+F23</f>
        <v>30.7561698212408</v>
      </c>
      <c r="G24">
        <f t="shared" ref="G24" si="17">RADIANS(F24)</f>
        <v>0.53679642868316779</v>
      </c>
      <c r="U24" s="6" t="s">
        <v>30</v>
      </c>
      <c r="V24" s="23">
        <f>INT(X24)</f>
        <v>30</v>
      </c>
      <c r="W24" s="24">
        <f>(X24-V24)*60</f>
        <v>5.1012074643250571</v>
      </c>
      <c r="X24" s="4">
        <f>X18+X23</f>
        <v>30.085020124405418</v>
      </c>
      <c r="Y24">
        <f t="shared" ref="Y24" si="18">RADIANS(X24)</f>
        <v>0.52508265669962861</v>
      </c>
      <c r="AE24" s="12"/>
    </row>
    <row r="25" spans="2:31" x14ac:dyDescent="0.25">
      <c r="V25" s="8"/>
      <c r="W25" s="9"/>
      <c r="AE25" s="12"/>
    </row>
    <row r="26" spans="2:31" x14ac:dyDescent="0.25">
      <c r="C26" t="s">
        <v>67</v>
      </c>
      <c r="E26" s="9">
        <v>-1.4</v>
      </c>
      <c r="F26" s="4">
        <f t="shared" ref="F26" si="19">D26+E26/60</f>
        <v>-2.3333333333333331E-2</v>
      </c>
      <c r="U26" t="s">
        <v>32</v>
      </c>
      <c r="V26" s="8"/>
      <c r="W26" s="9">
        <v>-1</v>
      </c>
      <c r="X26" s="4">
        <f t="shared" ref="X26" si="20">V26+W26/60</f>
        <v>-1.6666666666666666E-2</v>
      </c>
      <c r="AE26" s="12"/>
    </row>
    <row r="27" spans="2:31" x14ac:dyDescent="0.25">
      <c r="C27" s="6" t="s">
        <v>68</v>
      </c>
      <c r="D27" s="23">
        <f>INT(F27)</f>
        <v>33</v>
      </c>
      <c r="E27" s="24">
        <f>(F27-D27)*60</f>
        <v>58.959337748346172</v>
      </c>
      <c r="F27" s="4">
        <f>F19+F26</f>
        <v>33.982655629139103</v>
      </c>
      <c r="G27">
        <f t="shared" ref="G27" si="21">RADIANS(F27)</f>
        <v>0.59310922929986243</v>
      </c>
      <c r="U27" s="6" t="s">
        <v>34</v>
      </c>
      <c r="V27" s="23">
        <f>INT(X27)</f>
        <v>43</v>
      </c>
      <c r="W27" s="24">
        <f>(X27-V27)*60</f>
        <v>54.330107526881477</v>
      </c>
      <c r="X27" s="4">
        <f>X19+X26</f>
        <v>43.905501792114691</v>
      </c>
      <c r="Y27">
        <f t="shared" ref="Y27" si="22">RADIANS(X27)</f>
        <v>0.76629556601267235</v>
      </c>
      <c r="AE27" s="12"/>
    </row>
    <row r="28" spans="2:31" x14ac:dyDescent="0.25">
      <c r="C28" s="11">
        <v>0.8140856481481481</v>
      </c>
      <c r="V28" s="8"/>
      <c r="W28" s="9"/>
      <c r="AE28" s="12"/>
    </row>
    <row r="29" spans="2:31" x14ac:dyDescent="0.25">
      <c r="B29" t="s">
        <v>35</v>
      </c>
      <c r="C29" t="s">
        <v>36</v>
      </c>
      <c r="G29">
        <f>COS(G24)*COS(G27)/COS(G18)/COS(G19)</f>
        <v>0.99251937852704597</v>
      </c>
      <c r="T29" t="s">
        <v>35</v>
      </c>
      <c r="U29" t="s">
        <v>36</v>
      </c>
      <c r="V29" s="8"/>
      <c r="W29" s="9"/>
      <c r="Y29">
        <f>COS(Y24)*COS(Y27)/COS(Y18)/COS(Y19)</f>
        <v>0.99269026752196243</v>
      </c>
      <c r="AE29" s="12"/>
    </row>
    <row r="30" spans="2:31" x14ac:dyDescent="0.25">
      <c r="C30" t="s">
        <v>37</v>
      </c>
      <c r="G30">
        <f>COS(G16)+COS(G18+G19)</f>
        <v>1.064477368185105</v>
      </c>
      <c r="U30" t="s">
        <v>37</v>
      </c>
      <c r="V30" s="8"/>
      <c r="W30" s="9"/>
      <c r="Y30">
        <f>COS(Y16)+COS(Y18+Y19)</f>
        <v>1.0944989545561861</v>
      </c>
      <c r="AE30" s="12"/>
    </row>
    <row r="31" spans="2:31" x14ac:dyDescent="0.25">
      <c r="C31" t="s">
        <v>38</v>
      </c>
      <c r="G31">
        <f>COS(G24+G27)</f>
        <v>0.42674513010142384</v>
      </c>
      <c r="U31" t="s">
        <v>38</v>
      </c>
      <c r="V31" s="8"/>
      <c r="W31" s="9"/>
      <c r="Y31">
        <f>COS(Y24+Y27)</f>
        <v>0.27579636757231618</v>
      </c>
      <c r="AE31" s="12"/>
    </row>
    <row r="32" spans="2:31" ht="15.75" thickBot="1" x14ac:dyDescent="0.3">
      <c r="V32" s="8"/>
      <c r="W32" s="9"/>
      <c r="AE32" s="12"/>
    </row>
    <row r="33" spans="1:31" ht="15.75" thickBot="1" x14ac:dyDescent="0.3">
      <c r="C33" s="25" t="s">
        <v>39</v>
      </c>
      <c r="D33" s="26">
        <f>INT(F33)</f>
        <v>50</v>
      </c>
      <c r="E33" s="18">
        <f>(F33-D33)*60</f>
        <v>58.013825190762134</v>
      </c>
      <c r="F33" s="13">
        <f>DEGREES(G33)</f>
        <v>50.966897086512702</v>
      </c>
      <c r="G33" s="27">
        <f>ACOS(G29*G30-G31)</f>
        <v>0.88954016368475186</v>
      </c>
      <c r="U33" s="25" t="s">
        <v>39</v>
      </c>
      <c r="V33" s="26">
        <f>INT(X33)</f>
        <v>35</v>
      </c>
      <c r="W33" s="18">
        <f>(X33-V33)*60</f>
        <v>50.124925960210476</v>
      </c>
      <c r="X33" s="13">
        <f>DEGREES(Y33)</f>
        <v>35.835415432670175</v>
      </c>
      <c r="Y33" s="27">
        <f>ACOS(Y29*Y30-Y31)</f>
        <v>0.6254459881200829</v>
      </c>
      <c r="AE33" s="12"/>
    </row>
    <row r="34" spans="1:31" x14ac:dyDescent="0.25">
      <c r="C34" s="6"/>
      <c r="D34" s="23"/>
      <c r="E34" s="24"/>
      <c r="G34" s="27"/>
      <c r="U34" s="6"/>
      <c r="V34" s="23"/>
      <c r="W34" s="24"/>
      <c r="Y34" s="27"/>
      <c r="AE34" s="12"/>
    </row>
    <row r="35" spans="1:31" x14ac:dyDescent="0.25">
      <c r="V35" s="8"/>
      <c r="W35" s="9"/>
      <c r="AE35" s="12"/>
    </row>
    <row r="36" spans="1:31" x14ac:dyDescent="0.25">
      <c r="A36" s="28" t="s">
        <v>40</v>
      </c>
      <c r="B36" s="29"/>
      <c r="C36" s="30">
        <v>0.79166666666666663</v>
      </c>
      <c r="D36" s="31">
        <v>50</v>
      </c>
      <c r="E36" s="32">
        <v>47.8</v>
      </c>
      <c r="F36" s="4">
        <f>D36+E36/60</f>
        <v>50.796666666666667</v>
      </c>
      <c r="S36" s="28" t="s">
        <v>40</v>
      </c>
      <c r="T36" s="29"/>
      <c r="U36" s="30">
        <v>0.83333333333333337</v>
      </c>
      <c r="V36" s="31">
        <v>35</v>
      </c>
      <c r="W36" s="33">
        <v>53.8</v>
      </c>
      <c r="X36" s="4">
        <f>V36+W36/60</f>
        <v>35.896666666666668</v>
      </c>
      <c r="AE36" s="12"/>
    </row>
    <row r="37" spans="1:31" x14ac:dyDescent="0.25">
      <c r="A37" s="34"/>
      <c r="B37" s="35"/>
      <c r="C37" s="36">
        <v>0.83333333333333337</v>
      </c>
      <c r="D37" s="37">
        <v>51</v>
      </c>
      <c r="E37" s="38">
        <v>9.6</v>
      </c>
      <c r="F37" s="4">
        <f>D37+E37/60</f>
        <v>51.16</v>
      </c>
      <c r="S37" s="34"/>
      <c r="T37" s="35"/>
      <c r="U37" s="36">
        <v>0.875</v>
      </c>
      <c r="V37" s="37">
        <v>35</v>
      </c>
      <c r="W37" s="39">
        <v>23.1</v>
      </c>
      <c r="X37" s="4">
        <f>V37+W37/60</f>
        <v>35.384999999999998</v>
      </c>
      <c r="AE37" s="12"/>
    </row>
    <row r="38" spans="1:31" x14ac:dyDescent="0.25">
      <c r="C38" t="s">
        <v>41</v>
      </c>
      <c r="E38" s="9">
        <f>F38*60</f>
        <v>21.799999999999784</v>
      </c>
      <c r="F38" s="4">
        <f>F37-F36</f>
        <v>0.36333333333332973</v>
      </c>
      <c r="U38" t="s">
        <v>41</v>
      </c>
      <c r="V38" s="8"/>
      <c r="W38" s="9">
        <f>X38*60</f>
        <v>-30.700000000000216</v>
      </c>
      <c r="X38" s="4">
        <f>X37-X36</f>
        <v>-0.51166666666667027</v>
      </c>
      <c r="AE38" s="12"/>
    </row>
    <row r="39" spans="1:31" x14ac:dyDescent="0.25">
      <c r="C39" t="s">
        <v>42</v>
      </c>
      <c r="E39" s="9">
        <f>F39*60</f>
        <v>10.213825190762122</v>
      </c>
      <c r="F39" s="4">
        <f>F33-F36</f>
        <v>0.17023041984603537</v>
      </c>
      <c r="U39" t="s">
        <v>42</v>
      </c>
      <c r="V39" s="8"/>
      <c r="W39" s="9">
        <f>X39*60</f>
        <v>-3.6750740397896209</v>
      </c>
      <c r="X39" s="4">
        <f>X33-X36</f>
        <v>-6.1251233996493681E-2</v>
      </c>
      <c r="AE39" s="12"/>
    </row>
    <row r="40" spans="1:31" x14ac:dyDescent="0.25">
      <c r="V40" s="8"/>
      <c r="W40" s="9"/>
      <c r="AE40" s="12"/>
    </row>
    <row r="41" spans="1:31" x14ac:dyDescent="0.25">
      <c r="C41" t="s">
        <v>43</v>
      </c>
      <c r="E41" s="40">
        <f>E39/E38*60</f>
        <v>28.111445479162082</v>
      </c>
      <c r="G41" t="s">
        <v>44</v>
      </c>
      <c r="U41" t="s">
        <v>43</v>
      </c>
      <c r="V41" s="8"/>
      <c r="W41" s="40">
        <f>W39/W38*60</f>
        <v>7.1825551266246164</v>
      </c>
      <c r="Y41" t="s">
        <v>44</v>
      </c>
      <c r="AE41" s="12"/>
    </row>
    <row r="42" spans="1:31" ht="15.75" thickBot="1" x14ac:dyDescent="0.3">
      <c r="V42" s="8"/>
      <c r="W42" s="9"/>
      <c r="AE42" s="12"/>
    </row>
    <row r="43" spans="1:31" ht="15.75" thickBot="1" x14ac:dyDescent="0.3">
      <c r="A43" s="25" t="s">
        <v>45</v>
      </c>
      <c r="B43" s="41"/>
      <c r="C43" s="42">
        <f>C36+E41/60/24</f>
        <v>0.81118850380497365</v>
      </c>
      <c r="S43" s="25" t="s">
        <v>45</v>
      </c>
      <c r="T43" s="41"/>
      <c r="U43" s="42">
        <f>U36+W41/60/24</f>
        <v>0.83832121883793376</v>
      </c>
      <c r="V43" s="8"/>
      <c r="W43" s="9"/>
      <c r="AE43" s="12"/>
    </row>
    <row r="44" spans="1:31" x14ac:dyDescent="0.25">
      <c r="C44" s="19"/>
      <c r="U44" s="19"/>
      <c r="V44" s="8"/>
      <c r="W44" s="9"/>
      <c r="AE44" s="12"/>
    </row>
    <row r="45" spans="1:31" x14ac:dyDescent="0.25">
      <c r="A45" s="6" t="s">
        <v>46</v>
      </c>
      <c r="B45" s="6"/>
      <c r="C45" s="19">
        <f>ABS(J13-C43)</f>
        <v>2.3392739728039791E-3</v>
      </c>
      <c r="D45" s="8" t="str">
        <f>IF(J13&gt;C43,"fast","slow")</f>
        <v>fast</v>
      </c>
      <c r="S45" s="6" t="s">
        <v>46</v>
      </c>
      <c r="T45" s="6"/>
      <c r="U45" s="19">
        <f>ABS(AB13-U43)</f>
        <v>8.4776264354768927E-4</v>
      </c>
      <c r="V45" s="8" t="str">
        <f>IF(AB13&gt;U43,"fast","slow")</f>
        <v>fast</v>
      </c>
      <c r="W45" s="9"/>
      <c r="AE45" s="12"/>
    </row>
    <row r="46" spans="1:31" x14ac:dyDescent="0.25">
      <c r="A46" s="6" t="s">
        <v>47</v>
      </c>
      <c r="B46" s="6"/>
      <c r="C46" s="43">
        <f>(C45-$M$50)*60*60*24</f>
        <v>79.113271250263807</v>
      </c>
      <c r="D46" s="8" t="s">
        <v>48</v>
      </c>
      <c r="S46" s="6" t="s">
        <v>47</v>
      </c>
      <c r="T46" s="6"/>
      <c r="U46" s="43">
        <f>(U45-$M$50)*60*60*24</f>
        <v>-49.753307597479626</v>
      </c>
      <c r="V46" s="8" t="s">
        <v>48</v>
      </c>
      <c r="W46" s="9"/>
      <c r="AE46" s="12"/>
    </row>
    <row r="47" spans="1:31" ht="15.75" thickBot="1" x14ac:dyDescent="0.3"/>
    <row r="48" spans="1:31" x14ac:dyDescent="0.25">
      <c r="A48" s="44"/>
      <c r="B48" s="45"/>
      <c r="C48" s="45"/>
      <c r="D48" s="46"/>
      <c r="E48" s="47"/>
      <c r="F48" s="48"/>
      <c r="G48" s="45"/>
      <c r="H48" s="45"/>
      <c r="I48" s="45"/>
      <c r="J48" s="45"/>
      <c r="K48" s="45"/>
      <c r="L48" s="45"/>
      <c r="M48" s="49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8"/>
      <c r="Y48" s="50"/>
    </row>
    <row r="49" spans="1:27" x14ac:dyDescent="0.25">
      <c r="A49" s="51"/>
      <c r="F49" s="13"/>
      <c r="H49" t="s">
        <v>49</v>
      </c>
      <c r="M49" s="19">
        <f>AVERAGE(C45,U45)</f>
        <v>1.5935183081758342E-3</v>
      </c>
      <c r="N49" t="s">
        <v>50</v>
      </c>
      <c r="R49"/>
      <c r="X49" s="13"/>
      <c r="Y49" s="52"/>
    </row>
    <row r="50" spans="1:27" x14ac:dyDescent="0.25">
      <c r="A50" s="51"/>
      <c r="F50" s="13"/>
      <c r="H50" t="s">
        <v>51</v>
      </c>
      <c r="M50" s="19">
        <v>1.423611111111111E-3</v>
      </c>
      <c r="N50" t="s">
        <v>50</v>
      </c>
      <c r="R50"/>
      <c r="X50" s="13"/>
      <c r="Y50" s="52"/>
    </row>
    <row r="51" spans="1:27" x14ac:dyDescent="0.25">
      <c r="A51" s="51"/>
      <c r="F51" s="13"/>
      <c r="H51" t="s">
        <v>52</v>
      </c>
      <c r="M51" s="43">
        <f>(M49-$M$50)*60*60*24</f>
        <v>14.679981826392087</v>
      </c>
      <c r="N51" s="8" t="s">
        <v>48</v>
      </c>
      <c r="R51"/>
      <c r="X51" s="13"/>
      <c r="Y51" s="52"/>
    </row>
    <row r="52" spans="1:27" ht="15.75" thickBot="1" x14ac:dyDescent="0.3">
      <c r="A52" s="53"/>
      <c r="B52" s="54"/>
      <c r="C52" s="54"/>
      <c r="D52" s="55"/>
      <c r="E52" s="56"/>
      <c r="F52" s="57"/>
      <c r="G52" s="54"/>
      <c r="H52" s="54"/>
      <c r="I52" s="54"/>
      <c r="J52" s="54"/>
      <c r="K52" s="54"/>
      <c r="L52" s="54"/>
      <c r="M52" s="58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7"/>
      <c r="Y52" s="59"/>
    </row>
    <row r="53" spans="1:27" x14ac:dyDescent="0.25">
      <c r="A53" s="60" t="s">
        <v>69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7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7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7" x14ac:dyDescent="0.25">
      <c r="F56" s="13"/>
      <c r="R56"/>
      <c r="X56" s="13"/>
    </row>
    <row r="57" spans="1:27" x14ac:dyDescent="0.25">
      <c r="A57" s="62" t="s">
        <v>54</v>
      </c>
      <c r="F57" s="13"/>
      <c r="R57"/>
      <c r="X57" s="13"/>
    </row>
    <row r="58" spans="1:27" ht="15.75" thickBot="1" x14ac:dyDescent="0.3">
      <c r="F58" s="13"/>
      <c r="R58"/>
      <c r="X58" s="13"/>
    </row>
    <row r="59" spans="1:27" s="63" customFormat="1" ht="30.75" thickBot="1" x14ac:dyDescent="0.3">
      <c r="D59" s="64"/>
      <c r="E59" s="65" t="s">
        <v>55</v>
      </c>
      <c r="F59" s="66" t="s">
        <v>56</v>
      </c>
      <c r="G59" s="67"/>
      <c r="H59" s="68" t="s">
        <v>57</v>
      </c>
      <c r="I59" s="69" t="s">
        <v>58</v>
      </c>
      <c r="J59" s="69"/>
      <c r="K59" s="70" t="s">
        <v>59</v>
      </c>
      <c r="L59" s="71" t="s">
        <v>60</v>
      </c>
      <c r="M59" s="69"/>
      <c r="N59" s="72" t="s">
        <v>61</v>
      </c>
      <c r="P59" s="73"/>
      <c r="AA59" s="74"/>
    </row>
    <row r="60" spans="1:27" ht="15.75" thickBot="1" x14ac:dyDescent="0.3">
      <c r="E60" s="75"/>
      <c r="F60" s="76">
        <f>C45</f>
        <v>2.3392739728039791E-3</v>
      </c>
      <c r="G60" s="13" t="str">
        <f>D45</f>
        <v>fast</v>
      </c>
      <c r="H60" s="77">
        <f>C46</f>
        <v>79.113271250263807</v>
      </c>
      <c r="I60" s="11">
        <f>U45</f>
        <v>8.4776264354768927E-4</v>
      </c>
      <c r="J60" s="11" t="str">
        <f>V45</f>
        <v>fast</v>
      </c>
      <c r="K60" s="78">
        <f>U46</f>
        <v>-49.753307597479626</v>
      </c>
      <c r="L60" s="76">
        <f>M49</f>
        <v>1.5935183081758342E-3</v>
      </c>
      <c r="M60" s="11" t="str">
        <f>N49</f>
        <v>fast</v>
      </c>
      <c r="N60" s="79">
        <f>M51</f>
        <v>14.679981826392087</v>
      </c>
      <c r="P60" s="12"/>
      <c r="R60"/>
      <c r="X60"/>
      <c r="AA60" s="13"/>
    </row>
    <row r="61" spans="1:27" x14ac:dyDescent="0.25">
      <c r="E61" s="80">
        <v>-10</v>
      </c>
      <c r="F61" s="81">
        <f t="dataTable" ref="F61:N75" dt2D="0" dtr="0" r1="E7"/>
        <v>1.6512121407476488E-2</v>
      </c>
      <c r="G61" s="48" t="str">
        <v>slow</v>
      </c>
      <c r="H61" s="82">
        <v>1303.6472896059686</v>
      </c>
      <c r="I61" s="83">
        <v>1.4327268586876607E-2</v>
      </c>
      <c r="J61" s="83" t="str">
        <v>fast</v>
      </c>
      <c r="K61" s="84">
        <v>1114.8760059061387</v>
      </c>
      <c r="L61" s="81">
        <v>1.5419694997176547E-2</v>
      </c>
      <c r="M61" s="83" t="str">
        <v>fast</v>
      </c>
      <c r="N61" s="85">
        <v>1209.2616477560537</v>
      </c>
      <c r="R61"/>
      <c r="X61" s="13"/>
    </row>
    <row r="62" spans="1:27" x14ac:dyDescent="0.25">
      <c r="E62" s="75">
        <v>-5</v>
      </c>
      <c r="F62" s="76">
        <v>6.9912465470464147E-3</v>
      </c>
      <c r="G62" s="13" t="str">
        <v>slow</v>
      </c>
      <c r="H62" s="77">
        <v>481.04370166481027</v>
      </c>
      <c r="I62" s="11">
        <v>7.519566059123961E-3</v>
      </c>
      <c r="J62" s="11" t="str">
        <v>fast</v>
      </c>
      <c r="K62" s="78">
        <v>526.69050750831025</v>
      </c>
      <c r="L62" s="76">
        <v>7.2554063030851879E-3</v>
      </c>
      <c r="M62" s="11" t="str">
        <v>fast</v>
      </c>
      <c r="N62" s="79">
        <v>503.86710458656023</v>
      </c>
      <c r="R62"/>
      <c r="X62" s="13"/>
    </row>
    <row r="63" spans="1:27" x14ac:dyDescent="0.25">
      <c r="E63" s="75">
        <v>-2</v>
      </c>
      <c r="F63" s="76">
        <v>1.2786903892628709E-3</v>
      </c>
      <c r="G63" s="13" t="str">
        <v>slow</v>
      </c>
      <c r="H63" s="77">
        <v>-12.521150367687937</v>
      </c>
      <c r="I63" s="11">
        <v>3.4348185157153655E-3</v>
      </c>
      <c r="J63" s="11" t="str">
        <v>fast</v>
      </c>
      <c r="K63" s="78">
        <v>173.7683197578076</v>
      </c>
      <c r="L63" s="76">
        <v>2.3567544524891182E-3</v>
      </c>
      <c r="M63" s="11" t="str">
        <v>fast</v>
      </c>
      <c r="N63" s="79">
        <v>80.623584695059833</v>
      </c>
      <c r="R63"/>
      <c r="X63" s="13"/>
    </row>
    <row r="64" spans="1:27" x14ac:dyDescent="0.25">
      <c r="E64" s="75">
        <v>-1</v>
      </c>
      <c r="F64" s="76">
        <v>6.2550020736928946E-4</v>
      </c>
      <c r="G64" s="13" t="str">
        <v>fast</v>
      </c>
      <c r="H64" s="77">
        <v>-68.956782083293376</v>
      </c>
      <c r="I64" s="11">
        <v>2.073214916049726E-3</v>
      </c>
      <c r="J64" s="11" t="str">
        <v>fast</v>
      </c>
      <c r="K64" s="78">
        <v>56.125768746696345</v>
      </c>
      <c r="L64" s="76">
        <v>1.3493575617095077E-3</v>
      </c>
      <c r="M64" s="11" t="str">
        <v>fast</v>
      </c>
      <c r="N64" s="79">
        <v>-6.4155066682985202</v>
      </c>
      <c r="R64"/>
      <c r="X64" s="13"/>
    </row>
    <row r="65" spans="5:24" x14ac:dyDescent="0.25">
      <c r="E65" s="75">
        <v>-0.5</v>
      </c>
      <c r="F65" s="76">
        <v>1.5775964830494482E-3</v>
      </c>
      <c r="G65" s="13" t="str">
        <v>fast</v>
      </c>
      <c r="H65" s="77">
        <v>13.30433613547234</v>
      </c>
      <c r="I65" s="11">
        <v>1.3924091551369422E-3</v>
      </c>
      <c r="J65" s="11" t="str">
        <v>fast</v>
      </c>
      <c r="K65" s="78">
        <v>-2.6958489961681811</v>
      </c>
      <c r="L65" s="76">
        <v>1.4850028190931952E-3</v>
      </c>
      <c r="M65" s="11" t="str">
        <v>fast</v>
      </c>
      <c r="N65" s="79">
        <v>5.3042435696520789</v>
      </c>
      <c r="R65"/>
      <c r="X65" s="13"/>
    </row>
    <row r="66" spans="5:24" x14ac:dyDescent="0.25">
      <c r="E66" s="75">
        <v>-0.2</v>
      </c>
      <c r="F66" s="76">
        <v>2.1488545612624588E-3</v>
      </c>
      <c r="G66" s="13" t="str">
        <v>fast</v>
      </c>
      <c r="H66" s="77">
        <v>62.661034093076459</v>
      </c>
      <c r="I66" s="11">
        <v>9.8392443007100372E-4</v>
      </c>
      <c r="J66" s="11" t="str">
        <v>fast</v>
      </c>
      <c r="K66" s="78">
        <v>-37.988929241865264</v>
      </c>
      <c r="L66" s="76">
        <v>1.5663894956667312E-3</v>
      </c>
      <c r="M66" s="11" t="str">
        <v>fast</v>
      </c>
      <c r="N66" s="79">
        <v>12.336052425605594</v>
      </c>
      <c r="R66"/>
      <c r="X66" s="13"/>
    </row>
    <row r="67" spans="5:24" x14ac:dyDescent="0.25">
      <c r="E67" s="86">
        <v>-0.1</v>
      </c>
      <c r="F67" s="87">
        <v>2.3392739728039791E-3</v>
      </c>
      <c r="G67" s="88" t="str">
        <v>fast</v>
      </c>
      <c r="H67" s="89">
        <v>79.113271250263807</v>
      </c>
      <c r="I67" s="90">
        <v>8.4776264354768927E-4</v>
      </c>
      <c r="J67" s="90" t="str">
        <v>fast</v>
      </c>
      <c r="K67" s="91">
        <v>-49.753307597479626</v>
      </c>
      <c r="L67" s="87">
        <v>1.5935183081758342E-3</v>
      </c>
      <c r="M67" s="90" t="str">
        <v>fast</v>
      </c>
      <c r="N67" s="92">
        <v>14.679981826392087</v>
      </c>
      <c r="R67"/>
      <c r="X67" s="13"/>
    </row>
    <row r="68" spans="5:24" x14ac:dyDescent="0.25">
      <c r="E68" s="75">
        <v>0</v>
      </c>
      <c r="F68" s="76">
        <v>2.5296934104139801E-3</v>
      </c>
      <c r="G68" s="13" t="str">
        <v>fast</v>
      </c>
      <c r="H68" s="77">
        <v>95.565510659767909</v>
      </c>
      <c r="I68" s="11">
        <v>7.1160075125054068E-4</v>
      </c>
      <c r="J68" s="11" t="str">
        <v>fast</v>
      </c>
      <c r="K68" s="78">
        <v>-61.517695091953264</v>
      </c>
      <c r="L68" s="76">
        <v>1.6206470808322604E-3</v>
      </c>
      <c r="M68" s="11" t="str">
        <v>fast</v>
      </c>
      <c r="N68" s="79">
        <v>17.023907783907312</v>
      </c>
      <c r="R68"/>
      <c r="X68" s="13"/>
    </row>
    <row r="69" spans="5:24" x14ac:dyDescent="0.25">
      <c r="E69" s="75">
        <v>0.1</v>
      </c>
      <c r="F69" s="76">
        <v>2.7201128740963476E-3</v>
      </c>
      <c r="G69" s="13" t="str">
        <v>fast</v>
      </c>
      <c r="H69" s="77">
        <v>112.01775232192446</v>
      </c>
      <c r="I69" s="11">
        <v>5.7543875316545812E-4</v>
      </c>
      <c r="J69" s="11" t="str">
        <v>fast</v>
      </c>
      <c r="K69" s="78">
        <v>-73.282091726504405</v>
      </c>
      <c r="L69" s="76">
        <v>1.6477758136309029E-3</v>
      </c>
      <c r="M69" s="11" t="str">
        <v>fast</v>
      </c>
      <c r="N69" s="79">
        <v>19.367830297710022</v>
      </c>
      <c r="R69"/>
      <c r="X69" s="13"/>
    </row>
    <row r="70" spans="5:24" x14ac:dyDescent="0.25">
      <c r="E70" s="75">
        <v>0.2</v>
      </c>
      <c r="F70" s="76">
        <v>2.9105323638473068E-3</v>
      </c>
      <c r="G70" s="13" t="str">
        <v>fast</v>
      </c>
      <c r="H70" s="77">
        <v>128.46999623640733</v>
      </c>
      <c r="I70" s="11">
        <v>4.3927664928111732E-4</v>
      </c>
      <c r="J70" s="11" t="str">
        <v>fast</v>
      </c>
      <c r="K70" s="78">
        <v>-85.046497502111436</v>
      </c>
      <c r="L70" s="76">
        <v>1.6749045065642121E-3</v>
      </c>
      <c r="M70" s="11" t="str">
        <v>fast</v>
      </c>
      <c r="N70" s="79">
        <v>21.711749367147938</v>
      </c>
      <c r="R70"/>
      <c r="X70" s="13"/>
    </row>
    <row r="71" spans="5:24" x14ac:dyDescent="0.25">
      <c r="E71" s="75">
        <v>0.5</v>
      </c>
      <c r="F71" s="76">
        <v>3.4817909895391574E-3</v>
      </c>
      <c r="G71" s="13" t="str">
        <v>fast</v>
      </c>
      <c r="H71" s="77">
        <v>177.82674149618325</v>
      </c>
      <c r="I71" s="11">
        <v>3.0789702689437703E-5</v>
      </c>
      <c r="J71" s="11" t="str">
        <v>fast</v>
      </c>
      <c r="K71" s="78">
        <v>-120.33976968763255</v>
      </c>
      <c r="L71" s="76">
        <v>1.7562903461142976E-3</v>
      </c>
      <c r="M71" s="11" t="str">
        <v>fast</v>
      </c>
      <c r="N71" s="79">
        <v>28.743485904275321</v>
      </c>
      <c r="R71"/>
      <c r="X71" s="13"/>
    </row>
    <row r="72" spans="5:24" x14ac:dyDescent="0.25">
      <c r="E72" s="75">
        <v>1</v>
      </c>
      <c r="F72" s="76">
        <v>4.4338892205091351E-3</v>
      </c>
      <c r="G72" s="13" t="str">
        <v>fast</v>
      </c>
      <c r="H72" s="77">
        <v>260.0880286519893</v>
      </c>
      <c r="I72" s="11">
        <v>6.5002399224478591E-4</v>
      </c>
      <c r="J72" s="11" t="str">
        <v>slow</v>
      </c>
      <c r="K72" s="78">
        <v>-66.837927070050483</v>
      </c>
      <c r="L72" s="76">
        <v>2.5419566063769605E-3</v>
      </c>
      <c r="M72" s="11" t="str">
        <v>fast</v>
      </c>
      <c r="N72" s="79">
        <v>96.625050790969411</v>
      </c>
      <c r="R72"/>
      <c r="X72" s="13"/>
    </row>
    <row r="73" spans="5:24" x14ac:dyDescent="0.25">
      <c r="E73" s="75">
        <v>2</v>
      </c>
      <c r="F73" s="76">
        <v>6.3380876382922446E-3</v>
      </c>
      <c r="G73" s="13" t="str">
        <v>fast</v>
      </c>
      <c r="H73" s="77">
        <v>424.61077194844995</v>
      </c>
      <c r="I73" s="11">
        <v>2.0116593280193884E-3</v>
      </c>
      <c r="J73" s="11" t="str">
        <v>slow</v>
      </c>
      <c r="K73" s="78">
        <v>50.807365940875179</v>
      </c>
      <c r="L73" s="76">
        <v>4.1748734831558165E-3</v>
      </c>
      <c r="M73" s="11" t="str">
        <v>fast</v>
      </c>
      <c r="N73" s="79">
        <v>237.70906894466259</v>
      </c>
      <c r="R73"/>
      <c r="X73" s="13"/>
    </row>
    <row r="74" spans="5:24" x14ac:dyDescent="0.25">
      <c r="E74" s="75">
        <v>5</v>
      </c>
      <c r="F74" s="76">
        <v>1.2050698544225469E-2</v>
      </c>
      <c r="G74" s="13" t="str">
        <v>fast</v>
      </c>
      <c r="H74" s="77">
        <v>918.18035422108051</v>
      </c>
      <c r="I74" s="11">
        <v>6.0966290252943978E-3</v>
      </c>
      <c r="J74" s="11" t="str">
        <v>slow</v>
      </c>
      <c r="K74" s="78">
        <v>403.74874778543597</v>
      </c>
      <c r="L74" s="76">
        <v>9.0736637847599333E-3</v>
      </c>
      <c r="M74" s="11" t="str">
        <v>fast</v>
      </c>
      <c r="N74" s="79">
        <v>660.96455100325829</v>
      </c>
      <c r="R74"/>
      <c r="X74" s="13"/>
    </row>
    <row r="75" spans="5:24" ht="15.75" thickBot="1" x14ac:dyDescent="0.3">
      <c r="E75" s="93">
        <v>10</v>
      </c>
      <c r="F75" s="94">
        <v>2.1571768934936175E-2</v>
      </c>
      <c r="G75" s="57" t="str">
        <v>fast</v>
      </c>
      <c r="H75" s="95">
        <v>1740.8008359784853</v>
      </c>
      <c r="I75" s="96">
        <v>1.2905124975463589E-2</v>
      </c>
      <c r="J75" s="96" t="str">
        <v>slow</v>
      </c>
      <c r="K75" s="97">
        <v>992.00279788005412</v>
      </c>
      <c r="L75" s="94">
        <v>1.7238446955199882E-2</v>
      </c>
      <c r="M75" s="96" t="str">
        <v>fast</v>
      </c>
      <c r="N75" s="98">
        <v>1366.4018169292699</v>
      </c>
      <c r="R75"/>
      <c r="X75" s="13"/>
    </row>
    <row r="76" spans="5:24" x14ac:dyDescent="0.25">
      <c r="F76" s="13"/>
      <c r="R76"/>
      <c r="X76" s="13"/>
    </row>
    <row r="77" spans="5:24" x14ac:dyDescent="0.25">
      <c r="F77" s="13"/>
      <c r="R77"/>
      <c r="X77" s="13"/>
    </row>
    <row r="78" spans="5:24" x14ac:dyDescent="0.25">
      <c r="F78" s="13"/>
      <c r="R78"/>
      <c r="X78" s="13"/>
    </row>
    <row r="79" spans="5:24" x14ac:dyDescent="0.25">
      <c r="F79" s="13"/>
      <c r="R79"/>
      <c r="X79" s="13"/>
    </row>
    <row r="80" spans="5:24" x14ac:dyDescent="0.25">
      <c r="F80" s="13"/>
      <c r="R80"/>
      <c r="X80" s="13"/>
    </row>
    <row r="81" spans="6:24" x14ac:dyDescent="0.25">
      <c r="F81" s="13"/>
      <c r="R81"/>
      <c r="X81" s="13"/>
    </row>
    <row r="82" spans="6:24" x14ac:dyDescent="0.25">
      <c r="F82" s="13"/>
      <c r="R82"/>
      <c r="X82" s="13"/>
    </row>
    <row r="83" spans="6:24" x14ac:dyDescent="0.25">
      <c r="F83" s="13"/>
      <c r="R83"/>
      <c r="X83" s="13"/>
    </row>
    <row r="84" spans="6:24" x14ac:dyDescent="0.25">
      <c r="F84" s="13"/>
      <c r="R84"/>
      <c r="X84" s="13"/>
    </row>
    <row r="85" spans="6:24" x14ac:dyDescent="0.25">
      <c r="F85" s="13"/>
      <c r="R85"/>
      <c r="X85" s="13"/>
    </row>
    <row r="86" spans="6:24" x14ac:dyDescent="0.25">
      <c r="F86" s="13"/>
      <c r="R86"/>
      <c r="X86" s="13"/>
    </row>
    <row r="87" spans="6:24" x14ac:dyDescent="0.25">
      <c r="F87" s="13"/>
      <c r="R87"/>
      <c r="X87" s="13"/>
    </row>
    <row r="88" spans="6:24" x14ac:dyDescent="0.25">
      <c r="F88" s="13"/>
      <c r="R88"/>
      <c r="X88" s="13"/>
    </row>
    <row r="89" spans="6:24" x14ac:dyDescent="0.25">
      <c r="F89" s="13"/>
      <c r="R89"/>
      <c r="X89" s="13"/>
    </row>
    <row r="90" spans="6:24" x14ac:dyDescent="0.25">
      <c r="F90" s="13"/>
      <c r="R90"/>
      <c r="X90" s="13"/>
    </row>
    <row r="91" spans="6:24" x14ac:dyDescent="0.25">
      <c r="F91" s="13"/>
      <c r="R91"/>
      <c r="X91" s="13"/>
    </row>
    <row r="92" spans="6:24" x14ac:dyDescent="0.25">
      <c r="F92" s="13"/>
      <c r="R92"/>
      <c r="X92" s="13"/>
    </row>
    <row r="93" spans="6:24" x14ac:dyDescent="0.25">
      <c r="F93" s="13"/>
      <c r="R93"/>
      <c r="X93" s="13"/>
    </row>
    <row r="94" spans="6:24" x14ac:dyDescent="0.25">
      <c r="F94" s="13"/>
      <c r="R94"/>
      <c r="X94" s="13"/>
    </row>
    <row r="95" spans="6:24" x14ac:dyDescent="0.25">
      <c r="F95" s="13"/>
      <c r="R95"/>
      <c r="X95" s="13"/>
    </row>
    <row r="96" spans="6:24" x14ac:dyDescent="0.25">
      <c r="F96" s="13"/>
      <c r="R96"/>
      <c r="X96" s="13"/>
    </row>
    <row r="97" spans="6:24" x14ac:dyDescent="0.25">
      <c r="F97" s="13"/>
      <c r="R97"/>
      <c r="X97" s="13"/>
    </row>
    <row r="98" spans="6:24" x14ac:dyDescent="0.25">
      <c r="F98" s="13"/>
      <c r="R98"/>
      <c r="X98" s="13"/>
    </row>
    <row r="99" spans="6:24" x14ac:dyDescent="0.25">
      <c r="F99" s="13"/>
      <c r="R99"/>
      <c r="X99" s="13"/>
    </row>
    <row r="100" spans="6:24" x14ac:dyDescent="0.25">
      <c r="F100" s="13"/>
      <c r="R100"/>
      <c r="X100" s="13"/>
    </row>
    <row r="101" spans="6:24" x14ac:dyDescent="0.25">
      <c r="F101" s="13"/>
      <c r="R101"/>
      <c r="X101" s="13"/>
    </row>
    <row r="102" spans="6:24" x14ac:dyDescent="0.25">
      <c r="F102" s="13"/>
      <c r="R102"/>
      <c r="X102" s="13"/>
    </row>
    <row r="103" spans="6:24" x14ac:dyDescent="0.25">
      <c r="F103" s="13"/>
      <c r="R103"/>
      <c r="X103" s="13"/>
    </row>
    <row r="104" spans="6:24" x14ac:dyDescent="0.25">
      <c r="F104" s="13"/>
      <c r="R104"/>
      <c r="X104" s="13"/>
    </row>
    <row r="105" spans="6:24" x14ac:dyDescent="0.25">
      <c r="F105" s="13"/>
      <c r="R105"/>
      <c r="X105" s="13"/>
    </row>
    <row r="106" spans="6:24" x14ac:dyDescent="0.25">
      <c r="F106" s="13"/>
      <c r="R106"/>
      <c r="X106" s="13"/>
    </row>
    <row r="107" spans="6:24" x14ac:dyDescent="0.25">
      <c r="F107" s="13"/>
      <c r="R107"/>
      <c r="X107" s="13"/>
    </row>
    <row r="108" spans="6:24" x14ac:dyDescent="0.25">
      <c r="F108" s="13"/>
      <c r="R108"/>
      <c r="X108" s="13"/>
    </row>
    <row r="109" spans="6:24" x14ac:dyDescent="0.25">
      <c r="F109" s="13"/>
      <c r="R109"/>
      <c r="X109" s="13"/>
    </row>
    <row r="110" spans="6:24" x14ac:dyDescent="0.25">
      <c r="F110" s="13"/>
      <c r="R110"/>
      <c r="X110" s="13"/>
    </row>
    <row r="111" spans="6:24" x14ac:dyDescent="0.25">
      <c r="F111" s="13"/>
      <c r="R111"/>
      <c r="X111" s="13"/>
    </row>
    <row r="112" spans="6:24" x14ac:dyDescent="0.25">
      <c r="F112" s="13"/>
      <c r="R112"/>
      <c r="X112" s="13"/>
    </row>
    <row r="113" spans="6:24" x14ac:dyDescent="0.25">
      <c r="F113" s="13"/>
      <c r="R113"/>
      <c r="X113" s="13"/>
    </row>
    <row r="114" spans="6:24" x14ac:dyDescent="0.25">
      <c r="F114" s="13"/>
      <c r="R114"/>
      <c r="X114" s="13"/>
    </row>
    <row r="115" spans="6:24" x14ac:dyDescent="0.25">
      <c r="F115" s="13"/>
      <c r="R115"/>
      <c r="X115" s="13"/>
    </row>
    <row r="116" spans="6:24" x14ac:dyDescent="0.25">
      <c r="F116" s="13"/>
      <c r="R116"/>
      <c r="X116" s="13"/>
    </row>
    <row r="117" spans="6:24" x14ac:dyDescent="0.25">
      <c r="F117" s="13"/>
      <c r="R117"/>
      <c r="X117" s="13"/>
    </row>
    <row r="118" spans="6:24" x14ac:dyDescent="0.25">
      <c r="F118" s="13"/>
      <c r="R118"/>
      <c r="X118" s="13"/>
    </row>
    <row r="119" spans="6:24" x14ac:dyDescent="0.25">
      <c r="F119" s="13"/>
      <c r="R119"/>
      <c r="X119" s="13"/>
    </row>
  </sheetData>
  <mergeCells count="5">
    <mergeCell ref="V2:W2"/>
    <mergeCell ref="A53:Y55"/>
    <mergeCell ref="F59:G59"/>
    <mergeCell ref="I59:J59"/>
    <mergeCell ref="L59:M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2020.10.23</vt:lpstr>
      <vt:lpstr>2020.10.26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Miseta Tibor</dc:creator>
  <cp:lastModifiedBy>Miseta Tibor</cp:lastModifiedBy>
  <dcterms:created xsi:type="dcterms:W3CDTF">2020-10-27T09:51:26Z</dcterms:created>
  <dcterms:modified xsi:type="dcterms:W3CDTF">2020-10-27T09:53:24Z</dcterms:modified>
</cp:coreProperties>
</file>